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backupFile="1" codeName="ThisWorkbook"/>
  <mc:AlternateContent xmlns:mc="http://schemas.openxmlformats.org/markup-compatibility/2006">
    <mc:Choice Requires="x15">
      <x15ac:absPath xmlns:x15ac="http://schemas.microsoft.com/office/spreadsheetml/2010/11/ac" url="C:\Users\Mixcraftio\Downloads\"/>
    </mc:Choice>
  </mc:AlternateContent>
  <xr:revisionPtr revIDLastSave="0" documentId="8_{185FD398-68C6-447E-8343-9CC1752AE36C}" xr6:coauthVersionLast="47" xr6:coauthVersionMax="47" xr10:uidLastSave="{00000000-0000-0000-0000-000000000000}"/>
  <bookViews>
    <workbookView xWindow="10886" yWindow="0" windowWidth="11143" windowHeight="13080"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Propu!$A$317:$A$324</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O7" i="6"/>
  <c r="K25" i="7"/>
  <c r="M7" i="6"/>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H176" i="6"/>
  <c r="C177" i="6"/>
  <c r="F177" i="6"/>
  <c r="G177" i="6"/>
  <c r="H177" i="6"/>
  <c r="C178" i="6"/>
  <c r="F178" i="6"/>
  <c r="G178" i="6"/>
  <c r="H178" i="6"/>
  <c r="C179" i="6"/>
  <c r="F179" i="6"/>
  <c r="G179" i="6"/>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P14" i="6"/>
  <c r="E11" i="7" s="1"/>
  <c r="P15" i="6"/>
  <c r="H42" i="7" s="1"/>
  <c r="C163" i="6"/>
  <c r="O21" i="6"/>
  <c r="C167" i="6"/>
  <c r="C166" i="6"/>
  <c r="D161" i="6"/>
  <c r="E161" i="6" s="1"/>
  <c r="D158" i="6"/>
  <c r="E158" i="6" s="1"/>
  <c r="D162" i="6"/>
  <c r="E162" i="6" s="1"/>
  <c r="D160" i="6"/>
  <c r="E160" i="6" s="1"/>
  <c r="D159" i="6"/>
  <c r="E159" i="6" s="1"/>
  <c r="D166" i="6"/>
  <c r="E166" i="6" s="1"/>
  <c r="D167" i="6"/>
  <c r="E167" i="6" s="1"/>
  <c r="D163" i="6"/>
  <c r="E163" i="6" s="1"/>
  <c r="S206" i="4"/>
  <c r="R206" i="4"/>
  <c r="T206" i="4"/>
  <c r="U206" i="4"/>
  <c r="X205" i="4"/>
  <c r="W206" i="4" s="1"/>
  <c r="V206" i="4"/>
  <c r="X100" i="4"/>
  <c r="L105" i="4"/>
  <c r="C105" i="4"/>
  <c r="K105" i="4"/>
  <c r="O105" i="4"/>
  <c r="S100" i="4"/>
  <c r="U100" i="4"/>
  <c r="H100" i="4"/>
  <c r="Q100" i="4"/>
  <c r="Q105" i="4"/>
  <c r="D177" i="6" l="1"/>
  <c r="E177" i="6" s="1"/>
  <c r="D179" i="6"/>
  <c r="E179" i="6" s="1"/>
  <c r="D176" i="6"/>
  <c r="E176" i="6" s="1"/>
  <c r="C133" i="6"/>
  <c r="I38" i="7"/>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B54" i="8"/>
  <c r="C54" i="8" s="1"/>
  <c r="D26" i="7"/>
  <c r="B53" i="8"/>
  <c r="C53" i="8" s="1"/>
  <c r="B60" i="8"/>
  <c r="C60" i="8" s="1"/>
  <c r="B66" i="8"/>
  <c r="C66" i="8" s="1"/>
  <c r="B52" i="8"/>
  <c r="C52" i="8" s="1"/>
  <c r="B57" i="8"/>
  <c r="C57" i="8" s="1"/>
  <c r="T14" i="6"/>
  <c r="C173" i="6"/>
  <c r="C172" i="6"/>
  <c r="D23" i="7"/>
  <c r="E108" i="7"/>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T3" i="4"/>
  <c r="Y4" i="4"/>
  <c r="Q3" i="4"/>
  <c r="E4" i="7" l="1"/>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K4" i="4"/>
  <c r="G3" i="4"/>
  <c r="Q4" i="4"/>
  <c r="D3" i="4"/>
  <c r="T4" i="4"/>
  <c r="X2" i="4"/>
  <c r="X4" i="4"/>
  <c r="G4" i="4"/>
  <c r="F3" i="4"/>
  <c r="H3" i="4"/>
  <c r="D4" i="4"/>
  <c r="N4" i="4"/>
  <c r="S3" i="4"/>
  <c r="L2" i="4"/>
  <c r="Y3" i="4"/>
  <c r="C3" i="4"/>
  <c r="F4" i="4"/>
  <c r="U3" i="4"/>
  <c r="T2" i="4"/>
  <c r="L3" i="4"/>
  <c r="K3" i="4"/>
  <c r="I4" i="4"/>
  <c r="X3" i="4"/>
  <c r="B3" i="4"/>
  <c r="O4" i="4"/>
  <c r="R3" i="4"/>
  <c r="E4" i="4"/>
  <c r="L4" i="4"/>
  <c r="H4" i="4"/>
  <c r="J2" i="4"/>
  <c r="Z2" i="4"/>
  <c r="R4" i="4"/>
  <c r="N2" i="4"/>
  <c r="I3" i="4"/>
  <c r="M3" i="4"/>
  <c r="P4" i="4"/>
  <c r="W3" i="4"/>
  <c r="H2" i="4"/>
  <c r="V2" i="4"/>
  <c r="R2" i="4"/>
  <c r="B4" i="4"/>
  <c r="E3" i="4"/>
  <c r="N3" i="4"/>
  <c r="W4" i="4"/>
  <c r="C4" i="4"/>
  <c r="S4" i="4"/>
  <c r="P2" i="4"/>
  <c r="V4" i="4"/>
  <c r="V3" i="4"/>
  <c r="J3" i="4"/>
  <c r="U4" i="4"/>
  <c r="J4" i="4"/>
  <c r="O3" i="4"/>
  <c r="P3" i="4"/>
  <c r="M4" i="4"/>
  <c r="E28" i="6" l="1"/>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C11" i="1" s="1"/>
  <c r="S4" i="3" s="1"/>
  <c r="T4" i="3" s="1"/>
  <c r="U4" i="3" s="1"/>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E35" i="6" l="1"/>
  <c r="O22" i="6" s="1"/>
  <c r="O19" i="6" s="1"/>
  <c r="H28" i="6" s="1"/>
  <c r="C190" i="6" s="1"/>
  <c r="M22" i="6"/>
  <c r="C164" i="6"/>
  <c r="C165" i="6"/>
  <c r="AC5" i="3"/>
  <c r="P5" i="3"/>
  <c r="Q5" i="3" s="1"/>
  <c r="A6" i="3"/>
  <c r="B6" i="3" s="1"/>
  <c r="AC6" i="3" s="1"/>
  <c r="N15" i="6"/>
  <c r="I42" i="7"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M15" i="6"/>
  <c r="J42" i="7"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C153" i="6"/>
  <c r="M19" i="6" l="1"/>
  <c r="H31" i="6" s="1"/>
  <c r="H29" i="6" s="1"/>
  <c r="H47" i="7" s="1"/>
  <c r="C150" i="6"/>
  <c r="AA6" i="3"/>
  <c r="H48" i="8"/>
  <c r="P29" i="1"/>
  <c r="A7" i="3"/>
  <c r="B7" i="3" s="1"/>
  <c r="P7" i="3" s="1"/>
  <c r="Q7" i="3" s="1"/>
  <c r="AD6" i="3"/>
  <c r="P6" i="3"/>
  <c r="Q6" i="3" s="1"/>
  <c r="H71" i="7"/>
  <c r="I29" i="6"/>
  <c r="I47" i="7" s="1"/>
  <c r="B192" i="6"/>
  <c r="Z6" i="3"/>
  <c r="H68" i="7"/>
  <c r="H16" i="7"/>
  <c r="P28" i="1"/>
  <c r="H50" i="8"/>
  <c r="C149" i="6"/>
  <c r="C155" i="6"/>
  <c r="H46" i="8"/>
  <c r="H46" i="7"/>
  <c r="D152" i="6"/>
  <c r="H13" i="7"/>
  <c r="H58" i="8"/>
  <c r="R194" i="4"/>
  <c r="P196" i="4"/>
  <c r="F108" i="7"/>
  <c r="D213" i="4"/>
  <c r="F213" i="4" s="1"/>
  <c r="B191" i="6"/>
  <c r="C194" i="6"/>
  <c r="H61" i="8"/>
  <c r="D223" i="4"/>
  <c r="F223" i="4" s="1"/>
  <c r="X111" i="4"/>
  <c r="W111" i="4"/>
  <c r="D108" i="4" s="1"/>
  <c r="D188" i="4"/>
  <c r="F188" i="4" s="1"/>
  <c r="D130" i="6"/>
  <c r="E130" i="6" s="1"/>
  <c r="E129" i="6"/>
  <c r="S28" i="6"/>
  <c r="C193" i="6"/>
  <c r="X236" i="4"/>
  <c r="W236" i="4"/>
  <c r="W201" i="4"/>
  <c r="X201" i="4"/>
  <c r="D198" i="4" s="1"/>
  <c r="D2" i="4"/>
  <c r="B193" i="6" l="1"/>
  <c r="H32" i="6"/>
  <c r="I32" i="6"/>
  <c r="C157" i="6"/>
  <c r="C156" i="6" s="1"/>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I14" i="7"/>
  <c r="I30" i="6"/>
  <c r="I48" i="7" s="1"/>
  <c r="S29" i="6"/>
  <c r="H14" i="7"/>
  <c r="B194" i="6"/>
  <c r="H30" i="6"/>
  <c r="H48" i="7" s="1"/>
  <c r="B190" i="6"/>
  <c r="S194" i="4"/>
  <c r="Q196" i="4"/>
  <c r="F108" i="4"/>
  <c r="D233" i="4"/>
  <c r="F233" i="4" s="1"/>
  <c r="F2" i="4"/>
  <c r="J58" i="8" l="1"/>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I15" i="7"/>
  <c r="M50" i="8"/>
  <c r="H33" i="6"/>
  <c r="S30" i="6"/>
  <c r="H15" i="7"/>
  <c r="R196" i="4"/>
  <c r="T194" i="4"/>
  <c r="L49" i="8" l="1"/>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M6" i="3"/>
  <c r="N6" i="3" s="1"/>
  <c r="E6" i="3"/>
  <c r="H6" i="3" s="1"/>
  <c r="K6" i="3" s="1"/>
  <c r="L6" i="3" s="1"/>
  <c r="D193" i="4"/>
  <c r="AA15" i="3"/>
  <c r="P15" i="3"/>
  <c r="Q15" i="3" s="1"/>
  <c r="R15" i="3" s="1"/>
  <c r="AC15" i="3"/>
  <c r="Z15" i="3"/>
  <c r="AD15" i="3"/>
  <c r="A16" i="3"/>
  <c r="B16" i="3" s="1"/>
  <c r="S11" i="3" l="1"/>
  <c r="T11" i="3" s="1"/>
  <c r="V6" i="3"/>
  <c r="AE6" i="3"/>
  <c r="F6" i="3"/>
  <c r="I6" i="3"/>
  <c r="F193" i="4"/>
  <c r="AA16" i="3"/>
  <c r="AD16" i="3"/>
  <c r="AC16" i="3"/>
  <c r="P16" i="3"/>
  <c r="Q16" i="3" s="1"/>
  <c r="R16" i="3" s="1"/>
  <c r="Z16" i="3"/>
  <c r="A17" i="3"/>
  <c r="B17" i="3" s="1"/>
  <c r="U6" i="3"/>
  <c r="Y5" i="3"/>
  <c r="N36" i="1" l="1"/>
  <c r="M37" i="6"/>
  <c r="S12" i="3"/>
  <c r="S13" i="3" s="1"/>
  <c r="W6" i="3"/>
  <c r="E7" i="3" s="1"/>
  <c r="H7" i="3" s="1"/>
  <c r="P17" i="3"/>
  <c r="Q17" i="3" s="1"/>
  <c r="R17" i="3" s="1"/>
  <c r="A18" i="3"/>
  <c r="B18" i="3" s="1"/>
  <c r="AC17" i="3"/>
  <c r="Z17" i="3"/>
  <c r="AD17" i="3"/>
  <c r="AA17" i="3"/>
  <c r="T12" i="3" l="1"/>
  <c r="AH7" i="3"/>
  <c r="AG7" i="3"/>
  <c r="D7" i="3"/>
  <c r="G7" i="3" s="1"/>
  <c r="M7" i="3" s="1"/>
  <c r="N7" i="3" s="1"/>
  <c r="S14" i="3"/>
  <c r="T13" i="3"/>
  <c r="AA18" i="3"/>
  <c r="P18" i="3"/>
  <c r="Q18" i="3" s="1"/>
  <c r="R18" i="3" s="1"/>
  <c r="AC18" i="3"/>
  <c r="A19" i="3"/>
  <c r="B19" i="3" s="1"/>
  <c r="AD18" i="3"/>
  <c r="Z18" i="3"/>
  <c r="K7" i="3"/>
  <c r="J7" i="3" l="1"/>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D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D44" i="3"/>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D84" i="3"/>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AD184" i="3" l="1"/>
  <c r="Z184" i="3"/>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U204" i="3" l="1"/>
  <c r="Y203" i="3"/>
  <c r="T205" i="3"/>
  <c r="AH205" i="3" s="1"/>
  <c r="E205" i="3" l="1"/>
  <c r="H205" i="3" s="1"/>
  <c r="D205" i="3"/>
  <c r="AG205" i="3"/>
  <c r="K205" i="3" l="1"/>
  <c r="F205" i="3"/>
  <c r="G205" i="3"/>
  <c r="V205" i="3" l="1"/>
  <c r="A206" i="3"/>
  <c r="B206" i="3" s="1"/>
  <c r="AE205" i="3"/>
  <c r="I205" i="3"/>
  <c r="J205" i="3"/>
  <c r="AD205" i="3" s="1"/>
  <c r="M205" i="3"/>
  <c r="N205" i="3" s="1"/>
  <c r="W205" i="3" l="1"/>
  <c r="L205" i="3"/>
  <c r="AC206" i="3"/>
  <c r="P206" i="3"/>
  <c r="Q206" i="3" s="1"/>
  <c r="R206" i="3" s="1"/>
  <c r="S206" i="3" s="1"/>
  <c r="Z206" i="3"/>
  <c r="AA206" i="3"/>
  <c r="T206" i="3" l="1"/>
  <c r="AH206" i="3" s="1"/>
  <c r="U205" i="3"/>
  <c r="Y204" i="3"/>
  <c r="AG206" i="3" l="1"/>
  <c r="D206" i="3"/>
  <c r="E206" i="3"/>
  <c r="H206" i="3" s="1"/>
  <c r="F206" i="3" l="1"/>
  <c r="G206" i="3"/>
  <c r="K206" i="3"/>
  <c r="I206" i="3" l="1"/>
  <c r="J206" i="3"/>
  <c r="AD206" i="3" s="1"/>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A209" i="3"/>
  <c r="Z209" i="3"/>
  <c r="U208" i="3" l="1"/>
  <c r="Y207" i="3"/>
  <c r="T209" i="3"/>
  <c r="AH209" i="3" s="1"/>
  <c r="AG209" i="3" l="1"/>
  <c r="D209" i="3"/>
  <c r="G209" i="3" s="1"/>
  <c r="E209" i="3"/>
  <c r="H209" i="3" s="1"/>
  <c r="F209" i="3" l="1"/>
  <c r="K209" i="3"/>
  <c r="I209" i="3"/>
  <c r="J209" i="3"/>
  <c r="AD209" i="3" s="1"/>
  <c r="M209" i="3"/>
  <c r="N209" i="3" s="1"/>
  <c r="L209" i="3" l="1"/>
  <c r="V209" i="3"/>
  <c r="W209" i="3" s="1"/>
  <c r="A210" i="3"/>
  <c r="B210" i="3" s="1"/>
  <c r="AE209" i="3"/>
  <c r="AC210" i="3" l="1"/>
  <c r="Z210" i="3"/>
  <c r="P210" i="3"/>
  <c r="Q210" i="3" s="1"/>
  <c r="R210" i="3" s="1"/>
  <c r="S210" i="3" s="1"/>
  <c r="AA210" i="3"/>
  <c r="U209" i="3"/>
  <c r="Y208" i="3"/>
  <c r="T210" i="3" l="1"/>
  <c r="AG210" i="3" s="1"/>
  <c r="AH210" i="3" l="1"/>
  <c r="D210" i="3"/>
  <c r="E210" i="3"/>
  <c r="H210" i="3" s="1"/>
  <c r="F210" i="3" l="1"/>
  <c r="G210" i="3"/>
  <c r="K210" i="3"/>
  <c r="V210" i="3" l="1"/>
  <c r="AE210" i="3"/>
  <c r="A211" i="3"/>
  <c r="B211" i="3" s="1"/>
  <c r="I210" i="3"/>
  <c r="J210" i="3"/>
  <c r="AD210" i="3" s="1"/>
  <c r="M210" i="3"/>
  <c r="N210" i="3" s="1"/>
  <c r="W210" i="3" l="1"/>
  <c r="AC211" i="3"/>
  <c r="Z211" i="3"/>
  <c r="P211" i="3"/>
  <c r="Q211" i="3" s="1"/>
  <c r="R211" i="3" s="1"/>
  <c r="S211" i="3" s="1"/>
  <c r="AA211" i="3"/>
  <c r="L210" i="3"/>
  <c r="T211" i="3" l="1"/>
  <c r="AG211" i="3" s="1"/>
  <c r="U210" i="3"/>
  <c r="Y209" i="3"/>
  <c r="E211" i="3" l="1"/>
  <c r="H211" i="3" s="1"/>
  <c r="D211" i="3"/>
  <c r="AH211" i="3"/>
  <c r="K211" i="3" l="1"/>
  <c r="F211" i="3"/>
  <c r="G211" i="3"/>
  <c r="I211" i="3" l="1"/>
  <c r="J211" i="3"/>
  <c r="AD211" i="3" s="1"/>
  <c r="M211" i="3"/>
  <c r="N211" i="3" s="1"/>
  <c r="V211" i="3"/>
  <c r="AE211" i="3"/>
  <c r="A212" i="3"/>
  <c r="B212" i="3" s="1"/>
  <c r="W211" i="3" l="1"/>
  <c r="AA212" i="3"/>
  <c r="Z212" i="3"/>
  <c r="P212" i="3"/>
  <c r="Q212" i="3" s="1"/>
  <c r="R212" i="3" s="1"/>
  <c r="S212" i="3" s="1"/>
  <c r="AC212" i="3"/>
  <c r="L211" i="3"/>
  <c r="U211" i="3" l="1"/>
  <c r="Y210" i="3"/>
  <c r="T212" i="3"/>
  <c r="E212" i="3" l="1"/>
  <c r="H212" i="3" s="1"/>
  <c r="K212" i="3" s="1"/>
  <c r="AH212" i="3"/>
  <c r="AG212" i="3"/>
  <c r="D212" i="3"/>
  <c r="F212" i="3" l="1"/>
  <c r="G212" i="3"/>
  <c r="V212" i="3"/>
  <c r="A213" i="3"/>
  <c r="B213" i="3" s="1"/>
  <c r="AE212" i="3"/>
  <c r="AC213" i="3" l="1"/>
  <c r="P213" i="3"/>
  <c r="Q213" i="3" s="1"/>
  <c r="R213" i="3" s="1"/>
  <c r="S213" i="3" s="1"/>
  <c r="AA213" i="3"/>
  <c r="Z213" i="3"/>
  <c r="I212" i="3"/>
  <c r="W212" i="3" s="1"/>
  <c r="J212" i="3"/>
  <c r="AD212" i="3" s="1"/>
  <c r="M212" i="3"/>
  <c r="N212" i="3" s="1"/>
  <c r="T213" i="3" l="1"/>
  <c r="L212" i="3"/>
  <c r="U212" i="3" l="1"/>
  <c r="E213" i="3" s="1"/>
  <c r="H213" i="3" s="1"/>
  <c r="AH213" i="3"/>
  <c r="AG213" i="3"/>
  <c r="Y211" i="3"/>
  <c r="D213" i="3" l="1"/>
  <c r="G213" i="3" s="1"/>
  <c r="K213" i="3"/>
  <c r="F213" i="3" l="1"/>
  <c r="I213" i="3"/>
  <c r="J213" i="3"/>
  <c r="AD213" i="3" s="1"/>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AD217" i="3"/>
  <c r="T217" i="3" l="1"/>
  <c r="D217" i="3" s="1"/>
  <c r="G217" i="3" l="1"/>
  <c r="AG217" i="3"/>
  <c r="AH217" i="3"/>
  <c r="E217" i="3"/>
  <c r="H217" i="3" s="1"/>
  <c r="I217" i="3" l="1"/>
  <c r="J217" i="3"/>
  <c r="M217" i="3"/>
  <c r="N217" i="3" s="1"/>
  <c r="K217" i="3"/>
  <c r="AE217" i="3" s="1"/>
  <c r="F217" i="3"/>
  <c r="V217" i="3" l="1"/>
  <c r="W217" i="3" s="1"/>
  <c r="A218" i="3"/>
  <c r="B218" i="3" s="1"/>
  <c r="L217" i="3"/>
  <c r="U217" i="3" l="1"/>
  <c r="Y216" i="3"/>
  <c r="AC218" i="3"/>
  <c r="AA218" i="3"/>
  <c r="Z218" i="3"/>
  <c r="P218" i="3"/>
  <c r="Q218" i="3" s="1"/>
  <c r="R218" i="3" s="1"/>
  <c r="S218" i="3" s="1"/>
  <c r="AD218" i="3"/>
  <c r="T218" i="3" l="1"/>
  <c r="AG218" i="3" s="1"/>
  <c r="AH218" i="3" l="1"/>
  <c r="E218" i="3"/>
  <c r="H218" i="3" s="1"/>
  <c r="K218" i="3" s="1"/>
  <c r="AE218" i="3" s="1"/>
  <c r="D218" i="3"/>
  <c r="G218" i="3" s="1"/>
  <c r="F218" i="3" l="1"/>
  <c r="I218" i="3"/>
  <c r="J218" i="3"/>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D227" i="3"/>
  <c r="AC227" i="3"/>
  <c r="T227" i="3" l="1"/>
  <c r="D227" i="3" s="1"/>
  <c r="E227" i="3" l="1"/>
  <c r="H227" i="3" s="1"/>
  <c r="K227" i="3" s="1"/>
  <c r="AE227" i="3" s="1"/>
  <c r="AH227" i="3"/>
  <c r="AG227" i="3"/>
  <c r="G227" i="3"/>
  <c r="F227" i="3" l="1"/>
  <c r="V227" i="3"/>
  <c r="A228" i="3"/>
  <c r="B228" i="3" s="1"/>
  <c r="I227" i="3"/>
  <c r="J227" i="3"/>
  <c r="M227" i="3"/>
  <c r="N227" i="3" s="1"/>
  <c r="L227" i="3" l="1"/>
  <c r="W227" i="3"/>
  <c r="AD228"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D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L237" i="3" s="1"/>
  <c r="P238" i="3"/>
  <c r="Q238" i="3" s="1"/>
  <c r="R238" i="3" s="1"/>
  <c r="S238" i="3" s="1"/>
  <c r="Z238" i="3"/>
  <c r="AC238" i="3"/>
  <c r="AA238" i="3"/>
  <c r="AD238" i="3"/>
  <c r="T238" i="3" l="1"/>
  <c r="AG238" i="3" s="1"/>
  <c r="U237" i="3"/>
  <c r="Y236" i="3"/>
  <c r="AH238" i="3" l="1"/>
  <c r="E238" i="3"/>
  <c r="H238" i="3" s="1"/>
  <c r="K238" i="3" s="1"/>
  <c r="AE238" i="3" s="1"/>
  <c r="D238" i="3"/>
  <c r="F238" i="3" l="1"/>
  <c r="G238" i="3"/>
  <c r="M238" i="3" s="1"/>
  <c r="N238" i="3" s="1"/>
  <c r="V238" i="3"/>
  <c r="A239" i="3"/>
  <c r="B239" i="3" s="1"/>
  <c r="I238" i="3" l="1"/>
  <c r="W238" i="3" s="1"/>
  <c r="J238" i="3"/>
  <c r="L238" i="3" s="1"/>
  <c r="AD239" i="3"/>
  <c r="P239" i="3"/>
  <c r="Q239" i="3" s="1"/>
  <c r="R239" i="3" s="1"/>
  <c r="S239" i="3" s="1"/>
  <c r="AC239" i="3"/>
  <c r="Z239" i="3"/>
  <c r="AA239" i="3"/>
  <c r="T239" i="3" l="1"/>
  <c r="U238" i="3"/>
  <c r="Y237" i="3"/>
  <c r="D239" i="3" l="1"/>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AD247" i="3"/>
  <c r="U246" i="3" l="1"/>
  <c r="Y245" i="3"/>
  <c r="T247" i="3"/>
  <c r="AG247" i="3" s="1"/>
  <c r="AH247" i="3" l="1"/>
  <c r="D247" i="3"/>
  <c r="E247" i="3"/>
  <c r="H247" i="3" s="1"/>
  <c r="K247" i="3" s="1"/>
  <c r="AE247" i="3" s="1"/>
  <c r="F247" i="3" l="1"/>
  <c r="G247" i="3"/>
  <c r="M247" i="3" s="1"/>
  <c r="N247" i="3" s="1"/>
  <c r="V247" i="3"/>
  <c r="A248" i="3"/>
  <c r="B248" i="3" s="1"/>
  <c r="I247" i="3" l="1"/>
  <c r="W247" i="3" s="1"/>
  <c r="J247" i="3"/>
  <c r="L247" i="3" s="1"/>
  <c r="Z248" i="3"/>
  <c r="P248" i="3"/>
  <c r="Q248" i="3" s="1"/>
  <c r="R248" i="3" s="1"/>
  <c r="S248" i="3" s="1"/>
  <c r="AA248" i="3"/>
  <c r="AC248" i="3"/>
  <c r="AD248" i="3"/>
  <c r="U247" i="3" l="1"/>
  <c r="Y246" i="3"/>
  <c r="T248" i="3"/>
  <c r="AG248" i="3" s="1"/>
  <c r="E248" i="3" l="1"/>
  <c r="H248" i="3" s="1"/>
  <c r="K248" i="3" s="1"/>
  <c r="AE248" i="3" s="1"/>
  <c r="AH248" i="3"/>
  <c r="D248" i="3"/>
  <c r="G248" i="3" s="1"/>
  <c r="F248" i="3" l="1"/>
  <c r="I248" i="3"/>
  <c r="J248" i="3"/>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D257"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M257" i="3"/>
  <c r="N257" i="3" s="1"/>
  <c r="W257" i="3" l="1"/>
  <c r="L257" i="3"/>
  <c r="AC258" i="3"/>
  <c r="AD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AD267" i="3"/>
  <c r="T267" i="3" l="1"/>
  <c r="L266" i="3"/>
  <c r="AH267" i="3" l="1"/>
  <c r="AG267" i="3"/>
  <c r="U266" i="3"/>
  <c r="E267" i="3" s="1"/>
  <c r="H267" i="3" s="1"/>
  <c r="Y265" i="3"/>
  <c r="K267" i="3" l="1"/>
  <c r="AE267" i="3" s="1"/>
  <c r="D267" i="3"/>
  <c r="V267" i="3" l="1"/>
  <c r="A268" i="3"/>
  <c r="B268" i="3" s="1"/>
  <c r="F267" i="3"/>
  <c r="G267" i="3"/>
  <c r="I267" i="3" l="1"/>
  <c r="W267" i="3" s="1"/>
  <c r="J267" i="3"/>
  <c r="M267" i="3"/>
  <c r="N267" i="3" s="1"/>
  <c r="AC268" i="3"/>
  <c r="P268" i="3"/>
  <c r="Q268" i="3" s="1"/>
  <c r="R268" i="3" s="1"/>
  <c r="S268" i="3" s="1"/>
  <c r="Z268" i="3"/>
  <c r="AA268" i="3"/>
  <c r="AD268" i="3"/>
  <c r="T268" i="3" l="1"/>
  <c r="L267" i="3"/>
  <c r="U267" i="3" l="1"/>
  <c r="E268" i="3" s="1"/>
  <c r="H268" i="3" s="1"/>
  <c r="AH268" i="3"/>
  <c r="AG268" i="3"/>
  <c r="Y266" i="3"/>
  <c r="K268" i="3" l="1"/>
  <c r="AE268" i="3" s="1"/>
  <c r="D268" i="3"/>
  <c r="V268" i="3" l="1"/>
  <c r="A269" i="3"/>
  <c r="B269" i="3" s="1"/>
  <c r="F268" i="3"/>
  <c r="G268" i="3"/>
  <c r="I268" i="3" l="1"/>
  <c r="W268" i="3" s="1"/>
  <c r="J268" i="3"/>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D277" i="3"/>
  <c r="AA277" i="3"/>
  <c r="U276" i="3" l="1"/>
  <c r="Y275" i="3"/>
  <c r="T277" i="3"/>
  <c r="AG277" i="3" s="1"/>
  <c r="D277" i="3" l="1"/>
  <c r="G277" i="3" s="1"/>
  <c r="E277" i="3"/>
  <c r="H277" i="3" s="1"/>
  <c r="K277" i="3" s="1"/>
  <c r="AE277" i="3" s="1"/>
  <c r="AH277" i="3"/>
  <c r="F277" i="3" l="1"/>
  <c r="V277" i="3"/>
  <c r="A278" i="3"/>
  <c r="B278" i="3" s="1"/>
  <c r="I277" i="3"/>
  <c r="J277" i="3"/>
  <c r="M277" i="3"/>
  <c r="N277" i="3" s="1"/>
  <c r="W277" i="3" l="1"/>
  <c r="L277" i="3"/>
  <c r="AD278"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D287" i="3"/>
  <c r="AC287" i="3"/>
  <c r="T287" i="3" l="1"/>
  <c r="D287" i="3" s="1"/>
  <c r="G287" i="3" l="1"/>
  <c r="AH287" i="3"/>
  <c r="AG287" i="3"/>
  <c r="E287" i="3"/>
  <c r="H287" i="3" s="1"/>
  <c r="F287" i="3" l="1"/>
  <c r="K287" i="3"/>
  <c r="AE287" i="3" s="1"/>
  <c r="I287" i="3"/>
  <c r="J287" i="3"/>
  <c r="M287" i="3"/>
  <c r="N287" i="3" s="1"/>
  <c r="L287" i="3" l="1"/>
  <c r="V287" i="3"/>
  <c r="W287" i="3" s="1"/>
  <c r="A288" i="3"/>
  <c r="B288" i="3" s="1"/>
  <c r="U287" i="3" l="1"/>
  <c r="Y286" i="3"/>
  <c r="P288" i="3"/>
  <c r="Q288" i="3" s="1"/>
  <c r="R288" i="3" s="1"/>
  <c r="S288" i="3" s="1"/>
  <c r="AA288" i="3"/>
  <c r="AC288" i="3"/>
  <c r="AD288" i="3"/>
  <c r="Z288" i="3"/>
  <c r="T288" i="3" l="1"/>
  <c r="D288" i="3" s="1"/>
  <c r="AG288" i="3" l="1"/>
  <c r="AH288" i="3"/>
  <c r="E288" i="3"/>
  <c r="H288" i="3" s="1"/>
  <c r="K288" i="3" s="1"/>
  <c r="AE288" i="3" s="1"/>
  <c r="G288" i="3"/>
  <c r="F288" i="3" l="1"/>
  <c r="I288" i="3"/>
  <c r="J288" i="3"/>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AD297" i="3"/>
  <c r="T297" i="3" l="1"/>
  <c r="E297" i="3" s="1"/>
  <c r="H297" i="3" s="1"/>
  <c r="D297" i="3" l="1"/>
  <c r="F297" i="3" s="1"/>
  <c r="AG297" i="3"/>
  <c r="K297" i="3"/>
  <c r="AE297" i="3" s="1"/>
  <c r="AH297" i="3"/>
  <c r="G297" i="3" l="1"/>
  <c r="M297" i="3" s="1"/>
  <c r="N297" i="3" s="1"/>
  <c r="V297" i="3"/>
  <c r="A298" i="3"/>
  <c r="B298" i="3" s="1"/>
  <c r="J297" i="3" l="1"/>
  <c r="L297" i="3" s="1"/>
  <c r="I297" i="3"/>
  <c r="W297" i="3" s="1"/>
  <c r="Z298" i="3"/>
  <c r="AD298" i="3"/>
  <c r="P298" i="3"/>
  <c r="Q298" i="3" s="1"/>
  <c r="R298" i="3" s="1"/>
  <c r="S298" i="3" s="1"/>
  <c r="AA298" i="3"/>
  <c r="AC298" i="3"/>
  <c r="T298" i="3" l="1"/>
  <c r="U297" i="3"/>
  <c r="Y296" i="3"/>
  <c r="E298" i="3" l="1"/>
  <c r="H298" i="3" s="1"/>
  <c r="K298" i="3" s="1"/>
  <c r="AE298" i="3" s="1"/>
  <c r="AH298" i="3"/>
  <c r="D298" i="3"/>
  <c r="AG298" i="3"/>
  <c r="F298" i="3" l="1"/>
  <c r="G298" i="3"/>
  <c r="V298" i="3"/>
  <c r="A299" i="3"/>
  <c r="B299" i="3" s="1"/>
  <c r="I298" i="3" l="1"/>
  <c r="W298" i="3" s="1"/>
  <c r="J298" i="3"/>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AD307" i="3"/>
  <c r="T307" i="3" l="1"/>
  <c r="AH307" i="3" s="1"/>
  <c r="U306" i="3"/>
  <c r="Y305" i="3"/>
  <c r="D307" i="3" l="1"/>
  <c r="E307" i="3"/>
  <c r="H307" i="3" s="1"/>
  <c r="AG307" i="3"/>
  <c r="F307" i="3" l="1"/>
  <c r="G307" i="3"/>
  <c r="K307" i="3"/>
  <c r="AE307" i="3" s="1"/>
  <c r="I307" i="3" l="1"/>
  <c r="J307" i="3"/>
  <c r="M307" i="3"/>
  <c r="N307" i="3" s="1"/>
  <c r="V307" i="3"/>
  <c r="A308" i="3"/>
  <c r="B308" i="3" s="1"/>
  <c r="L307" i="3" l="1"/>
  <c r="Z308" i="3"/>
  <c r="AD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D317" i="3"/>
  <c r="AC317" i="3"/>
  <c r="T317" i="3" l="1"/>
  <c r="AG317" i="3" s="1"/>
  <c r="U316" i="3"/>
  <c r="Y315" i="3"/>
  <c r="E317" i="3" l="1"/>
  <c r="H317" i="3" s="1"/>
  <c r="K317" i="3" s="1"/>
  <c r="AE317" i="3" s="1"/>
  <c r="D317" i="3"/>
  <c r="AH317" i="3"/>
  <c r="V317" i="3" l="1"/>
  <c r="A318" i="3"/>
  <c r="B318" i="3" s="1"/>
  <c r="F317" i="3"/>
  <c r="G317" i="3"/>
  <c r="I317" i="3" l="1"/>
  <c r="W317" i="3" s="1"/>
  <c r="J317" i="3"/>
  <c r="M317" i="3"/>
  <c r="N317" i="3" s="1"/>
  <c r="AA318" i="3"/>
  <c r="P318" i="3"/>
  <c r="Q318" i="3" s="1"/>
  <c r="R318" i="3" s="1"/>
  <c r="S318" i="3" s="1"/>
  <c r="Z318" i="3"/>
  <c r="AC318" i="3"/>
  <c r="AD318" i="3"/>
  <c r="T318" i="3" l="1"/>
  <c r="L317" i="3"/>
  <c r="AH318" i="3" l="1"/>
  <c r="AG318" i="3"/>
  <c r="U317" i="3"/>
  <c r="E318" i="3" s="1"/>
  <c r="H318" i="3" s="1"/>
  <c r="Y316" i="3"/>
  <c r="K318" i="3" l="1"/>
  <c r="AE318" i="3" s="1"/>
  <c r="D318" i="3"/>
  <c r="V318" i="3" l="1"/>
  <c r="A319" i="3"/>
  <c r="B319" i="3" s="1"/>
  <c r="F318" i="3"/>
  <c r="G318" i="3"/>
  <c r="I318" i="3" l="1"/>
  <c r="W318" i="3" s="1"/>
  <c r="J318" i="3"/>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D367" i="3"/>
  <c r="AA367" i="3"/>
  <c r="T367" i="3" l="1"/>
  <c r="AG367" i="3" s="1"/>
  <c r="U366" i="3"/>
  <c r="Y365" i="3"/>
  <c r="D367" i="3" l="1"/>
  <c r="AH367" i="3"/>
  <c r="E367" i="3"/>
  <c r="H367" i="3" s="1"/>
  <c r="F367" i="3" l="1"/>
  <c r="G367" i="3"/>
  <c r="K367" i="3"/>
  <c r="AE367" i="3" s="1"/>
  <c r="I367" i="3" l="1"/>
  <c r="J367" i="3"/>
  <c r="M367" i="3"/>
  <c r="N367" i="3" s="1"/>
  <c r="V367" i="3"/>
  <c r="A368" i="3"/>
  <c r="B368" i="3" s="1"/>
  <c r="L367" i="3" l="1"/>
  <c r="W367" i="3"/>
  <c r="Z368" i="3"/>
  <c r="P368" i="3"/>
  <c r="Q368" i="3" s="1"/>
  <c r="R368" i="3" s="1"/>
  <c r="S368" i="3" s="1"/>
  <c r="AD368" i="3"/>
  <c r="AC368" i="3"/>
  <c r="AA368" i="3"/>
  <c r="T368" i="3" l="1"/>
  <c r="AH368" i="3" s="1"/>
  <c r="U367" i="3"/>
  <c r="Y366" i="3"/>
  <c r="E368" i="3" l="1"/>
  <c r="H368" i="3" s="1"/>
  <c r="K368" i="3" s="1"/>
  <c r="AE368" i="3" s="1"/>
  <c r="D368" i="3"/>
  <c r="AG368" i="3"/>
  <c r="V368" i="3" l="1"/>
  <c r="A369" i="3"/>
  <c r="B369" i="3" s="1"/>
  <c r="F368" i="3"/>
  <c r="G368" i="3"/>
  <c r="I368" i="3" l="1"/>
  <c r="W368" i="3" s="1"/>
  <c r="J368" i="3"/>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AD377" i="3"/>
  <c r="Z377" i="3"/>
  <c r="U376" i="3"/>
  <c r="Y375" i="3"/>
  <c r="T377" i="3" l="1"/>
  <c r="AH377" i="3" s="1"/>
  <c r="E377" i="3" l="1"/>
  <c r="H377" i="3" s="1"/>
  <c r="K377" i="3" s="1"/>
  <c r="AE377" i="3" s="1"/>
  <c r="D377" i="3"/>
  <c r="AG377" i="3"/>
  <c r="F377" i="3" l="1"/>
  <c r="G377" i="3"/>
  <c r="M377" i="3" s="1"/>
  <c r="N377" i="3" s="1"/>
  <c r="V377" i="3"/>
  <c r="A378" i="3"/>
  <c r="B378" i="3" s="1"/>
  <c r="I377" i="3" l="1"/>
  <c r="W377" i="3" s="1"/>
  <c r="J377" i="3"/>
  <c r="L377" i="3" s="1"/>
  <c r="AD378" i="3"/>
  <c r="Z378" i="3"/>
  <c r="AC378" i="3"/>
  <c r="P378" i="3"/>
  <c r="Q378" i="3" s="1"/>
  <c r="R378" i="3" s="1"/>
  <c r="S378" i="3" s="1"/>
  <c r="AA378" i="3"/>
  <c r="U377" i="3" l="1"/>
  <c r="Y376" i="3"/>
  <c r="T378" i="3"/>
  <c r="D378" i="3" l="1"/>
  <c r="G378" i="3" s="1"/>
  <c r="AG378" i="3"/>
  <c r="E378" i="3"/>
  <c r="H378" i="3" s="1"/>
  <c r="K378" i="3" s="1"/>
  <c r="AE378" i="3" s="1"/>
  <c r="AH378" i="3"/>
  <c r="F378" i="3" l="1"/>
  <c r="V378" i="3"/>
  <c r="A379" i="3"/>
  <c r="B379" i="3" s="1"/>
  <c r="I378" i="3"/>
  <c r="J378" i="3"/>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D387" i="3"/>
  <c r="AA387" i="3"/>
  <c r="P387" i="3"/>
  <c r="Q387" i="3" s="1"/>
  <c r="R387" i="3" s="1"/>
  <c r="S387" i="3" s="1"/>
  <c r="AC387" i="3"/>
  <c r="Z387" i="3"/>
  <c r="U386" i="3" l="1"/>
  <c r="Y385" i="3"/>
  <c r="T387" i="3"/>
  <c r="AG387" i="3" s="1"/>
  <c r="AH387" i="3" l="1"/>
  <c r="D387" i="3"/>
  <c r="G387" i="3" s="1"/>
  <c r="E387" i="3"/>
  <c r="H387" i="3" s="1"/>
  <c r="F387" i="3" l="1"/>
  <c r="I387" i="3"/>
  <c r="J387" i="3"/>
  <c r="M387" i="3"/>
  <c r="N387" i="3" s="1"/>
  <c r="K387" i="3"/>
  <c r="AE387" i="3" s="1"/>
  <c r="V387" i="3" l="1"/>
  <c r="W387" i="3" s="1"/>
  <c r="A388" i="3"/>
  <c r="B388" i="3" s="1"/>
  <c r="L387" i="3"/>
  <c r="U387" i="3" l="1"/>
  <c r="Y386" i="3"/>
  <c r="AA388" i="3"/>
  <c r="Z388" i="3"/>
  <c r="P388" i="3"/>
  <c r="Q388" i="3" s="1"/>
  <c r="R388" i="3" s="1"/>
  <c r="S388" i="3" s="1"/>
  <c r="AD388" i="3"/>
  <c r="AC388" i="3"/>
  <c r="T388" i="3" l="1"/>
  <c r="E388" i="3" s="1"/>
  <c r="H388" i="3" s="1"/>
  <c r="K388" i="3" l="1"/>
  <c r="AE388" i="3" s="1"/>
  <c r="D388" i="3"/>
  <c r="AG388" i="3"/>
  <c r="AH388" i="3"/>
  <c r="V388" i="3" l="1"/>
  <c r="A389" i="3"/>
  <c r="B389" i="3" s="1"/>
  <c r="F388" i="3"/>
  <c r="G388" i="3"/>
  <c r="I388" i="3" l="1"/>
  <c r="W388" i="3" s="1"/>
  <c r="J388" i="3"/>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AD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L397" i="3" s="1"/>
  <c r="AD398" i="3"/>
  <c r="AC398" i="3"/>
  <c r="AA398" i="3"/>
  <c r="P398" i="3"/>
  <c r="Q398" i="3" s="1"/>
  <c r="R398" i="3" s="1"/>
  <c r="S398" i="3" s="1"/>
  <c r="Z398" i="3"/>
  <c r="T398" i="3" l="1"/>
  <c r="U397" i="3"/>
  <c r="Y396" i="3"/>
  <c r="E398" i="3" l="1"/>
  <c r="H398" i="3" s="1"/>
  <c r="K398" i="3" s="1"/>
  <c r="AE398" i="3" s="1"/>
  <c r="D398" i="3"/>
  <c r="G398" i="3" s="1"/>
  <c r="AH398" i="3"/>
  <c r="AG398" i="3"/>
  <c r="F398" i="3" l="1"/>
  <c r="V398" i="3"/>
  <c r="A399" i="3"/>
  <c r="B399" i="3" s="1"/>
  <c r="I398" i="3"/>
  <c r="J398" i="3"/>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D407" i="3"/>
  <c r="AA407" i="3"/>
  <c r="L406" i="3" l="1"/>
  <c r="T407" i="3"/>
  <c r="U406" i="3" l="1"/>
  <c r="D407" i="3" s="1"/>
  <c r="AG407" i="3"/>
  <c r="AH407" i="3"/>
  <c r="Y405" i="3"/>
  <c r="G407" i="3" l="1"/>
  <c r="E407" i="3"/>
  <c r="H407" i="3" s="1"/>
  <c r="F407" i="3" l="1"/>
  <c r="I407" i="3"/>
  <c r="J407" i="3"/>
  <c r="M407" i="3"/>
  <c r="N407" i="3" s="1"/>
  <c r="K407" i="3"/>
  <c r="AE407" i="3" s="1"/>
  <c r="V407" i="3" l="1"/>
  <c r="W407" i="3" s="1"/>
  <c r="A408" i="3"/>
  <c r="B408" i="3" s="1"/>
  <c r="L407" i="3"/>
  <c r="U407" i="3" l="1"/>
  <c r="Y406" i="3"/>
  <c r="Z408" i="3"/>
  <c r="AC408" i="3"/>
  <c r="AD408" i="3"/>
  <c r="P408" i="3"/>
  <c r="Q408" i="3" s="1"/>
  <c r="R408" i="3" s="1"/>
  <c r="S408" i="3" s="1"/>
  <c r="AA408" i="3"/>
  <c r="T408" i="3" l="1"/>
  <c r="AH408" i="3" s="1"/>
  <c r="E408" i="3" l="1"/>
  <c r="H408" i="3" s="1"/>
  <c r="K408" i="3" s="1"/>
  <c r="AE408" i="3" s="1"/>
  <c r="D408" i="3"/>
  <c r="G408" i="3" s="1"/>
  <c r="AG408" i="3"/>
  <c r="F408" i="3" l="1"/>
  <c r="I408" i="3"/>
  <c r="J408" i="3"/>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AD427" i="3"/>
  <c r="Z427" i="3"/>
  <c r="AA427" i="3"/>
  <c r="U426" i="3" l="1"/>
  <c r="Y425" i="3"/>
  <c r="T427" i="3"/>
  <c r="AG427" i="3" s="1"/>
  <c r="D427" i="3" l="1"/>
  <c r="G427" i="3" s="1"/>
  <c r="E427" i="3"/>
  <c r="H427" i="3" s="1"/>
  <c r="K427" i="3" s="1"/>
  <c r="AE427" i="3" s="1"/>
  <c r="AH427" i="3"/>
  <c r="F427" i="3" l="1"/>
  <c r="I427" i="3"/>
  <c r="J427" i="3"/>
  <c r="M427" i="3"/>
  <c r="N427" i="3" s="1"/>
  <c r="V427" i="3"/>
  <c r="A428" i="3"/>
  <c r="B428" i="3" s="1"/>
  <c r="W427" i="3" l="1"/>
  <c r="L427" i="3"/>
  <c r="P428" i="3"/>
  <c r="Q428" i="3" s="1"/>
  <c r="R428" i="3" s="1"/>
  <c r="S428" i="3" s="1"/>
  <c r="AC428" i="3"/>
  <c r="Z428" i="3"/>
  <c r="AA428" i="3"/>
  <c r="AD428" i="3"/>
  <c r="U427" i="3" l="1"/>
  <c r="Y426" i="3"/>
  <c r="T428" i="3"/>
  <c r="AG428" i="3" s="1"/>
  <c r="E428" i="3" l="1"/>
  <c r="H428" i="3" s="1"/>
  <c r="AH428" i="3"/>
  <c r="D428" i="3"/>
  <c r="K428" i="3" l="1"/>
  <c r="AE428" i="3" s="1"/>
  <c r="F428" i="3"/>
  <c r="G428" i="3"/>
  <c r="I428" i="3" l="1"/>
  <c r="J428" i="3"/>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AD437" i="3"/>
  <c r="Z437" i="3"/>
  <c r="U436" i="3" l="1"/>
  <c r="Y435" i="3"/>
  <c r="T437" i="3"/>
  <c r="AH437" i="3" s="1"/>
  <c r="D437" i="3" l="1"/>
  <c r="G437" i="3" s="1"/>
  <c r="E437" i="3"/>
  <c r="H437" i="3" s="1"/>
  <c r="K437" i="3" s="1"/>
  <c r="AE437" i="3" s="1"/>
  <c r="AG437" i="3"/>
  <c r="F437" i="3" l="1"/>
  <c r="I437" i="3"/>
  <c r="J437" i="3"/>
  <c r="M437" i="3"/>
  <c r="N437" i="3" s="1"/>
  <c r="V437" i="3"/>
  <c r="A438" i="3"/>
  <c r="B438" i="3" s="1"/>
  <c r="W437" i="3" l="1"/>
  <c r="L437" i="3"/>
  <c r="Z438" i="3"/>
  <c r="P438" i="3"/>
  <c r="Q438" i="3" s="1"/>
  <c r="R438" i="3" s="1"/>
  <c r="S438" i="3" s="1"/>
  <c r="AC438" i="3"/>
  <c r="AD438" i="3"/>
  <c r="AA438" i="3"/>
  <c r="U437" i="3" l="1"/>
  <c r="Y436" i="3"/>
  <c r="T438" i="3"/>
  <c r="E438" i="3" l="1"/>
  <c r="H438" i="3" s="1"/>
  <c r="K438" i="3" s="1"/>
  <c r="AE438" i="3" s="1"/>
  <c r="D438" i="3"/>
  <c r="AH438" i="3"/>
  <c r="AG438" i="3"/>
  <c r="V438" i="3" l="1"/>
  <c r="A439" i="3"/>
  <c r="B439" i="3" s="1"/>
  <c r="F438" i="3"/>
  <c r="G438" i="3"/>
  <c r="I438" i="3" l="1"/>
  <c r="W438" i="3" s="1"/>
  <c r="J438" i="3"/>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AD447" i="3"/>
  <c r="U446" i="3"/>
  <c r="Y445" i="3"/>
  <c r="T447" i="3" l="1"/>
  <c r="AG447" i="3" s="1"/>
  <c r="D447" i="3" l="1"/>
  <c r="G447" i="3" s="1"/>
  <c r="AH447" i="3"/>
  <c r="E447" i="3"/>
  <c r="H447" i="3" s="1"/>
  <c r="K447" i="3" s="1"/>
  <c r="AE447" i="3" s="1"/>
  <c r="F447" i="3" l="1"/>
  <c r="I447" i="3"/>
  <c r="J447" i="3"/>
  <c r="M447" i="3"/>
  <c r="N447" i="3" s="1"/>
  <c r="V447" i="3"/>
  <c r="A448" i="3"/>
  <c r="B448" i="3" s="1"/>
  <c r="W447" i="3" l="1"/>
  <c r="L447" i="3"/>
  <c r="AD448" i="3"/>
  <c r="Z448" i="3"/>
  <c r="AA448" i="3"/>
  <c r="P448" i="3"/>
  <c r="Q448" i="3" s="1"/>
  <c r="R448" i="3" s="1"/>
  <c r="S448" i="3" s="1"/>
  <c r="AC448" i="3"/>
  <c r="T448" i="3" l="1"/>
  <c r="AG448" i="3" s="1"/>
  <c r="U447" i="3"/>
  <c r="Y446" i="3"/>
  <c r="D448" i="3" l="1"/>
  <c r="G448" i="3" s="1"/>
  <c r="E448" i="3"/>
  <c r="H448" i="3" s="1"/>
  <c r="AH448" i="3"/>
  <c r="F448" i="3" l="1"/>
  <c r="I448" i="3"/>
  <c r="J448" i="3"/>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D457" i="3"/>
  <c r="AA457" i="3"/>
  <c r="U456" i="3"/>
  <c r="Y455" i="3"/>
  <c r="T457" i="3" l="1"/>
  <c r="D457" i="3" l="1"/>
  <c r="AH457" i="3"/>
  <c r="E457" i="3"/>
  <c r="H457" i="3" s="1"/>
  <c r="AG457" i="3"/>
  <c r="F457" i="3" l="1"/>
  <c r="G457" i="3"/>
  <c r="K457" i="3"/>
  <c r="AE457" i="3" s="1"/>
  <c r="I457" i="3" l="1"/>
  <c r="J457" i="3"/>
  <c r="M457" i="3"/>
  <c r="N457" i="3" s="1"/>
  <c r="V457" i="3"/>
  <c r="A458" i="3"/>
  <c r="B458" i="3" s="1"/>
  <c r="L457" i="3" l="1"/>
  <c r="W457" i="3"/>
  <c r="P458" i="3"/>
  <c r="Q458" i="3" s="1"/>
  <c r="R458" i="3" s="1"/>
  <c r="S458" i="3" s="1"/>
  <c r="AC458" i="3"/>
  <c r="Z458" i="3"/>
  <c r="AD458" i="3"/>
  <c r="AA458" i="3"/>
  <c r="U457" i="3" l="1"/>
  <c r="Y456" i="3"/>
  <c r="T458" i="3"/>
  <c r="AH458" i="3" s="1"/>
  <c r="AG458" i="3" l="1"/>
  <c r="E458" i="3"/>
  <c r="H458" i="3" s="1"/>
  <c r="D458" i="3"/>
  <c r="K458" i="3" l="1"/>
  <c r="AE458" i="3" s="1"/>
  <c r="F458" i="3"/>
  <c r="G458" i="3"/>
  <c r="V458" i="3" l="1"/>
  <c r="A459" i="3"/>
  <c r="B459" i="3" s="1"/>
  <c r="I458" i="3"/>
  <c r="J458" i="3"/>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AD465" i="3"/>
  <c r="T465" i="3" l="1"/>
  <c r="AH465" i="3" s="1"/>
  <c r="U464" i="3"/>
  <c r="Y463" i="3"/>
  <c r="D465" i="3" l="1"/>
  <c r="G465" i="3" s="1"/>
  <c r="E465" i="3"/>
  <c r="H465" i="3" s="1"/>
  <c r="AG465" i="3"/>
  <c r="F465" i="3" l="1"/>
  <c r="I465" i="3"/>
  <c r="J465" i="3"/>
  <c r="M465" i="3"/>
  <c r="N465" i="3" s="1"/>
  <c r="K465" i="3"/>
  <c r="AE465" i="3" s="1"/>
  <c r="V465" i="3" l="1"/>
  <c r="W465" i="3" s="1"/>
  <c r="A466" i="3"/>
  <c r="B466" i="3" s="1"/>
  <c r="L465" i="3"/>
  <c r="U465" i="3" l="1"/>
  <c r="Y464" i="3"/>
  <c r="AA466" i="3"/>
  <c r="AD466" i="3"/>
  <c r="AC466" i="3"/>
  <c r="Z466" i="3"/>
  <c r="P466" i="3"/>
  <c r="Q466" i="3" s="1"/>
  <c r="R466" i="3" s="1"/>
  <c r="S466" i="3" s="1"/>
  <c r="T466" i="3" l="1"/>
  <c r="AH466" i="3" s="1"/>
  <c r="AG466" i="3" l="1"/>
  <c r="E466" i="3"/>
  <c r="H466" i="3" s="1"/>
  <c r="K466" i="3" s="1"/>
  <c r="AE466" i="3" s="1"/>
  <c r="D466" i="3"/>
  <c r="G466" i="3" s="1"/>
  <c r="F466" i="3" l="1"/>
  <c r="I466" i="3"/>
  <c r="J466" i="3"/>
  <c r="M466" i="3"/>
  <c r="N466" i="3" s="1"/>
  <c r="V466" i="3"/>
  <c r="A467" i="3"/>
  <c r="B467" i="3" s="1"/>
  <c r="W466" i="3" l="1"/>
  <c r="L466" i="3"/>
  <c r="P467" i="3"/>
  <c r="Q467" i="3" s="1"/>
  <c r="R467" i="3" s="1"/>
  <c r="S467" i="3" s="1"/>
  <c r="AA467" i="3"/>
  <c r="Z467" i="3"/>
  <c r="AC467" i="3"/>
  <c r="AD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AD468" i="3"/>
  <c r="I467" i="3"/>
  <c r="W467" i="3" s="1"/>
  <c r="J467" i="3"/>
  <c r="M467" i="3"/>
  <c r="N467" i="3" s="1"/>
  <c r="L467" i="3" l="1"/>
  <c r="T468" i="3"/>
  <c r="U467" i="3" l="1"/>
  <c r="D468" i="3" s="1"/>
  <c r="AH468" i="3"/>
  <c r="AG468" i="3"/>
  <c r="Y466" i="3"/>
  <c r="E468" i="3" l="1"/>
  <c r="H468" i="3" s="1"/>
  <c r="K468" i="3" s="1"/>
  <c r="AE468" i="3" s="1"/>
  <c r="G468" i="3"/>
  <c r="F468" i="3" l="1"/>
  <c r="I468" i="3"/>
  <c r="J468" i="3"/>
  <c r="M468" i="3"/>
  <c r="N468" i="3" s="1"/>
  <c r="V468" i="3"/>
  <c r="A469" i="3"/>
  <c r="B469" i="3" s="1"/>
  <c r="W468" i="3" l="1"/>
  <c r="L468" i="3"/>
  <c r="AD469" i="3"/>
  <c r="AA469" i="3"/>
  <c r="P469" i="3"/>
  <c r="Q469" i="3" s="1"/>
  <c r="R469" i="3" s="1"/>
  <c r="S469" i="3" s="1"/>
  <c r="Z469" i="3"/>
  <c r="AC469" i="3"/>
  <c r="U468" i="3" l="1"/>
  <c r="Y467" i="3"/>
  <c r="T469" i="3"/>
  <c r="AG469" i="3" s="1"/>
  <c r="D469" i="3" l="1"/>
  <c r="G469" i="3" s="1"/>
  <c r="AH469" i="3"/>
  <c r="E469" i="3"/>
  <c r="H469" i="3" s="1"/>
  <c r="K469" i="3" s="1"/>
  <c r="AE469" i="3" s="1"/>
  <c r="F469" i="3" l="1"/>
  <c r="I469" i="3"/>
  <c r="J469" i="3"/>
  <c r="M469" i="3"/>
  <c r="N469" i="3" s="1"/>
  <c r="V469" i="3"/>
  <c r="A470" i="3"/>
  <c r="B470" i="3" s="1"/>
  <c r="W469" i="3" l="1"/>
  <c r="L469" i="3"/>
  <c r="AC470" i="3"/>
  <c r="P470" i="3"/>
  <c r="Q470" i="3" s="1"/>
  <c r="R470" i="3" s="1"/>
  <c r="S470" i="3" s="1"/>
  <c r="AA470" i="3"/>
  <c r="Z470" i="3"/>
  <c r="AD470" i="3"/>
  <c r="U469" i="3" l="1"/>
  <c r="Y468" i="3"/>
  <c r="T470" i="3"/>
  <c r="D470" i="3" l="1"/>
  <c r="G470" i="3" s="1"/>
  <c r="AH470" i="3"/>
  <c r="AG470" i="3"/>
  <c r="E470" i="3"/>
  <c r="H470" i="3" s="1"/>
  <c r="K470" i="3" l="1"/>
  <c r="AE470" i="3" s="1"/>
  <c r="F470" i="3"/>
  <c r="I470" i="3"/>
  <c r="J470" i="3"/>
  <c r="M470" i="3"/>
  <c r="N470" i="3" s="1"/>
  <c r="V470" i="3" l="1"/>
  <c r="W470" i="3" s="1"/>
  <c r="A471" i="3"/>
  <c r="B471" i="3" s="1"/>
  <c r="L470" i="3"/>
  <c r="U470" i="3" l="1"/>
  <c r="Y469" i="3"/>
  <c r="Z471" i="3"/>
  <c r="AA471" i="3"/>
  <c r="AD471" i="3"/>
  <c r="AC471" i="3"/>
  <c r="P471" i="3"/>
  <c r="Q471" i="3" s="1"/>
  <c r="R471" i="3" s="1"/>
  <c r="S471" i="3" s="1"/>
  <c r="T471" i="3" l="1"/>
  <c r="AH471" i="3" s="1"/>
  <c r="AG471" i="3" l="1"/>
  <c r="E471" i="3"/>
  <c r="H471" i="3" s="1"/>
  <c r="D471" i="3"/>
  <c r="F471" i="3" l="1"/>
  <c r="G471" i="3"/>
  <c r="K471" i="3"/>
  <c r="AE471" i="3" s="1"/>
  <c r="V471" i="3" l="1"/>
  <c r="A472" i="3"/>
  <c r="B472" i="3" s="1"/>
  <c r="I471" i="3"/>
  <c r="J471" i="3"/>
  <c r="M471" i="3"/>
  <c r="N471" i="3" s="1"/>
  <c r="W471" i="3" l="1"/>
  <c r="L471" i="3"/>
  <c r="Z472" i="3"/>
  <c r="AA472" i="3"/>
  <c r="P472" i="3"/>
  <c r="Q472" i="3" s="1"/>
  <c r="R472" i="3" s="1"/>
  <c r="S472" i="3" s="1"/>
  <c r="AD472" i="3"/>
  <c r="AC472" i="3"/>
  <c r="U471" i="3" l="1"/>
  <c r="Y470" i="3"/>
  <c r="T472" i="3"/>
  <c r="E472" i="3" l="1"/>
  <c r="H472" i="3" s="1"/>
  <c r="K472" i="3" s="1"/>
  <c r="AE472" i="3" s="1"/>
  <c r="AG472" i="3"/>
  <c r="AH472" i="3"/>
  <c r="D472" i="3"/>
  <c r="V472" i="3" l="1"/>
  <c r="A473" i="3"/>
  <c r="B473" i="3" s="1"/>
  <c r="F472" i="3"/>
  <c r="G472" i="3"/>
  <c r="I472" i="3" l="1"/>
  <c r="W472" i="3" s="1"/>
  <c r="J472" i="3"/>
  <c r="M472" i="3"/>
  <c r="N472" i="3" s="1"/>
  <c r="AC473" i="3"/>
  <c r="P473" i="3"/>
  <c r="Q473" i="3" s="1"/>
  <c r="R473" i="3" s="1"/>
  <c r="S473" i="3" s="1"/>
  <c r="AD473" i="3"/>
  <c r="Z473" i="3"/>
  <c r="AA473" i="3"/>
  <c r="L472" i="3" l="1"/>
  <c r="T473" i="3"/>
  <c r="U472" i="3" l="1"/>
  <c r="D473" i="3" s="1"/>
  <c r="AH473" i="3"/>
  <c r="AG473" i="3"/>
  <c r="Y471" i="3"/>
  <c r="G473" i="3" l="1"/>
  <c r="E473" i="3"/>
  <c r="H473" i="3" s="1"/>
  <c r="F473" i="3" l="1"/>
  <c r="I473" i="3"/>
  <c r="J473" i="3"/>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D477" i="3"/>
  <c r="AC477" i="3"/>
  <c r="Z477" i="3"/>
  <c r="U476" i="3" l="1"/>
  <c r="Y475" i="3"/>
  <c r="T477" i="3"/>
  <c r="D477" i="3" l="1"/>
  <c r="G477" i="3" s="1"/>
  <c r="AG477" i="3"/>
  <c r="E477" i="3"/>
  <c r="H477" i="3" s="1"/>
  <c r="K477" i="3" s="1"/>
  <c r="AE477" i="3" s="1"/>
  <c r="AH477" i="3"/>
  <c r="F477" i="3" l="1"/>
  <c r="V477" i="3"/>
  <c r="A478" i="3"/>
  <c r="B478" i="3" s="1"/>
  <c r="I477" i="3"/>
  <c r="J477" i="3"/>
  <c r="M477" i="3"/>
  <c r="N477" i="3" s="1"/>
  <c r="W477" i="3" l="1"/>
  <c r="L477" i="3"/>
  <c r="AA478" i="3"/>
  <c r="AD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AD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M487" i="3"/>
  <c r="N487" i="3" s="1"/>
  <c r="AA488" i="3"/>
  <c r="AD488" i="3"/>
  <c r="Z488" i="3"/>
  <c r="P488" i="3"/>
  <c r="Q488" i="3" s="1"/>
  <c r="R488" i="3" s="1"/>
  <c r="S488" i="3" s="1"/>
  <c r="AC488" i="3"/>
  <c r="L487" i="3" l="1"/>
  <c r="T488" i="3"/>
  <c r="U487" i="3" l="1"/>
  <c r="D488" i="3" s="1"/>
  <c r="AG488" i="3"/>
  <c r="AH488" i="3"/>
  <c r="Y486" i="3"/>
  <c r="E488" i="3" l="1"/>
  <c r="H488" i="3" s="1"/>
  <c r="K488" i="3" s="1"/>
  <c r="AE488" i="3" s="1"/>
  <c r="G488" i="3"/>
  <c r="F488" i="3" l="1"/>
  <c r="I488" i="3"/>
  <c r="J488" i="3"/>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D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M495" i="3"/>
  <c r="N495" i="3" s="1"/>
  <c r="W495" i="3" l="1"/>
  <c r="L495" i="3"/>
  <c r="AD496"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M496" i="3"/>
  <c r="N496" i="3" s="1"/>
  <c r="W496" i="3" l="1"/>
  <c r="L496" i="3"/>
  <c r="P497" i="3"/>
  <c r="Q497" i="3" s="1"/>
  <c r="R497" i="3" s="1"/>
  <c r="S497" i="3" s="1"/>
  <c r="AC497" i="3"/>
  <c r="AA497" i="3"/>
  <c r="AD497" i="3"/>
  <c r="Z497" i="3"/>
  <c r="U496" i="3" l="1"/>
  <c r="Y495" i="3"/>
  <c r="T497" i="3"/>
  <c r="AG497" i="3" s="1"/>
  <c r="E497" i="3" l="1"/>
  <c r="H497" i="3" s="1"/>
  <c r="D497" i="3"/>
  <c r="AH497" i="3"/>
  <c r="F497" i="3" l="1"/>
  <c r="G497" i="3"/>
  <c r="K497" i="3"/>
  <c r="AE497" i="3" s="1"/>
  <c r="I497" i="3" l="1"/>
  <c r="J497" i="3"/>
  <c r="M497" i="3"/>
  <c r="N497" i="3" s="1"/>
  <c r="V497" i="3"/>
  <c r="A498" i="3"/>
  <c r="B498" i="3" s="1"/>
  <c r="W497" i="3" l="1"/>
  <c r="L497" i="3"/>
  <c r="Z498" i="3"/>
  <c r="AC498" i="3"/>
  <c r="AD498" i="3"/>
  <c r="AA498" i="3"/>
  <c r="P498" i="3"/>
  <c r="Q498" i="3" s="1"/>
  <c r="R498" i="3" s="1"/>
  <c r="S498" i="3" s="1"/>
  <c r="U497" i="3" l="1"/>
  <c r="Y496" i="3"/>
  <c r="T498" i="3"/>
  <c r="AH498" i="3" s="1"/>
  <c r="AG498" i="3" l="1"/>
  <c r="D498" i="3"/>
  <c r="E498" i="3"/>
  <c r="H498" i="3" s="1"/>
  <c r="F498" i="3" l="1"/>
  <c r="G498" i="3"/>
  <c r="K498" i="3"/>
  <c r="AE498" i="3" s="1"/>
  <c r="I498" i="3" l="1"/>
  <c r="J498" i="3"/>
  <c r="M498" i="3"/>
  <c r="N498" i="3" s="1"/>
  <c r="V498" i="3"/>
  <c r="A499" i="3"/>
  <c r="B499" i="3" s="1"/>
  <c r="W498" i="3" l="1"/>
  <c r="L498" i="3"/>
  <c r="AC499" i="3"/>
  <c r="P499" i="3"/>
  <c r="Q499" i="3" s="1"/>
  <c r="R499" i="3" s="1"/>
  <c r="S499" i="3" s="1"/>
  <c r="AD499" i="3"/>
  <c r="AA499" i="3"/>
  <c r="Z499" i="3"/>
  <c r="T499" i="3" l="1"/>
  <c r="U498" i="3"/>
  <c r="Y497" i="3"/>
  <c r="D499" i="3" l="1"/>
  <c r="G499" i="3" s="1"/>
  <c r="AH499" i="3"/>
  <c r="E499" i="3"/>
  <c r="H499" i="3" s="1"/>
  <c r="AG499" i="3"/>
  <c r="F499" i="3" l="1"/>
  <c r="I499" i="3"/>
  <c r="J499" i="3"/>
  <c r="M499" i="3"/>
  <c r="N499" i="3" s="1"/>
  <c r="K499" i="3"/>
  <c r="AE499" i="3" s="1"/>
  <c r="V499" i="3" l="1"/>
  <c r="W499" i="3" s="1"/>
  <c r="A500" i="3"/>
  <c r="B500" i="3" s="1"/>
  <c r="L499" i="3"/>
  <c r="U499" i="3" l="1"/>
  <c r="Y498" i="3"/>
  <c r="AD500" i="3"/>
  <c r="AA500" i="3"/>
  <c r="AC500" i="3"/>
  <c r="P500" i="3"/>
  <c r="Q500" i="3" s="1"/>
  <c r="R500" i="3" s="1"/>
  <c r="S500" i="3" s="1"/>
  <c r="Z500" i="3"/>
  <c r="T500" i="3" l="1"/>
  <c r="AH500" i="3" s="1"/>
  <c r="D500" i="3" l="1"/>
  <c r="AG500" i="3"/>
  <c r="E500" i="3"/>
  <c r="H500" i="3" s="1"/>
  <c r="F500" i="3" l="1"/>
  <c r="G500" i="3"/>
  <c r="K500" i="3"/>
  <c r="AE500" i="3" s="1"/>
  <c r="I500" i="3" l="1"/>
  <c r="J500" i="3"/>
  <c r="M500" i="3"/>
  <c r="N500" i="3" s="1"/>
  <c r="V500" i="3"/>
  <c r="A501" i="3"/>
  <c r="B501" i="3" s="1"/>
  <c r="W500" i="3" l="1"/>
  <c r="L500" i="3"/>
  <c r="P501" i="3"/>
  <c r="Q501" i="3" s="1"/>
  <c r="R501" i="3" s="1"/>
  <c r="S501" i="3" s="1"/>
  <c r="AC501" i="3"/>
  <c r="AD501" i="3"/>
  <c r="Z501" i="3"/>
  <c r="AA501" i="3"/>
  <c r="U500" i="3" l="1"/>
  <c r="Y499" i="3"/>
  <c r="T501" i="3"/>
  <c r="D501" i="3" l="1"/>
  <c r="G501" i="3" s="1"/>
  <c r="E501" i="3"/>
  <c r="H501" i="3" s="1"/>
  <c r="K501" i="3" s="1"/>
  <c r="AE501" i="3" s="1"/>
  <c r="AG501" i="3"/>
  <c r="AH501" i="3"/>
  <c r="F501" i="3" l="1"/>
  <c r="I501" i="3"/>
  <c r="J501" i="3"/>
  <c r="M501" i="3"/>
  <c r="N501" i="3" s="1"/>
  <c r="V501" i="3"/>
  <c r="A502" i="3"/>
  <c r="B502" i="3" s="1"/>
  <c r="L501" i="3" l="1"/>
  <c r="W501" i="3"/>
  <c r="Z502" i="3"/>
  <c r="AA502" i="3"/>
  <c r="AC502" i="3"/>
  <c r="AD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M502" i="3"/>
  <c r="N502" i="3" s="1"/>
  <c r="AA503" i="3"/>
  <c r="P503" i="3"/>
  <c r="Q503" i="3" s="1"/>
  <c r="R503" i="3" s="1"/>
  <c r="S503" i="3" s="1"/>
  <c r="AD503" i="3"/>
  <c r="AC503" i="3"/>
  <c r="Z503" i="3"/>
  <c r="T503" i="3" l="1"/>
  <c r="L502" i="3"/>
  <c r="AG503" i="3" l="1"/>
  <c r="AH503" i="3"/>
  <c r="U502" i="3"/>
  <c r="E503" i="3" s="1"/>
  <c r="H503" i="3" s="1"/>
  <c r="Y501" i="3"/>
  <c r="D503" i="3" l="1"/>
  <c r="G503" i="3" s="1"/>
  <c r="K503" i="3"/>
  <c r="AE503" i="3" s="1"/>
  <c r="F503" i="3" l="1"/>
  <c r="V503" i="3"/>
  <c r="A504" i="3"/>
  <c r="B504" i="3" s="1"/>
  <c r="I503" i="3"/>
  <c r="J503" i="3"/>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D507" i="3"/>
  <c r="AC507" i="3"/>
  <c r="P507" i="3"/>
  <c r="Q507" i="3" s="1"/>
  <c r="R507" i="3" s="1"/>
  <c r="S507" i="3" s="1"/>
  <c r="AA507" i="3"/>
  <c r="Z507" i="3"/>
  <c r="U506" i="3" l="1"/>
  <c r="Y505" i="3"/>
  <c r="T507" i="3"/>
  <c r="AH507" i="3" s="1"/>
  <c r="AG507" i="3" l="1"/>
  <c r="E507" i="3"/>
  <c r="H507" i="3" s="1"/>
  <c r="D507" i="3"/>
  <c r="K507" i="3" l="1"/>
  <c r="AE507" i="3" s="1"/>
  <c r="F507" i="3"/>
  <c r="G507" i="3"/>
  <c r="I507" i="3" l="1"/>
  <c r="J507" i="3"/>
  <c r="M507" i="3"/>
  <c r="N507" i="3" s="1"/>
  <c r="V507" i="3"/>
  <c r="A508" i="3"/>
  <c r="B508" i="3" s="1"/>
  <c r="W507" i="3" l="1"/>
  <c r="L507" i="3"/>
  <c r="P508" i="3"/>
  <c r="Q508" i="3" s="1"/>
  <c r="R508" i="3" s="1"/>
  <c r="S508" i="3" s="1"/>
  <c r="AD508" i="3"/>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AD515" i="3"/>
  <c r="P515" i="3"/>
  <c r="Q515" i="3" s="1"/>
  <c r="R515" i="3" s="1"/>
  <c r="S515" i="3" s="1"/>
  <c r="AC515" i="3"/>
  <c r="Z515" i="3"/>
  <c r="AA515" i="3"/>
  <c r="U514" i="3" l="1"/>
  <c r="Y513" i="3"/>
  <c r="T515" i="3"/>
  <c r="D515" i="3" l="1"/>
  <c r="G515" i="3" s="1"/>
  <c r="AG515" i="3"/>
  <c r="AH515" i="3"/>
  <c r="E515" i="3"/>
  <c r="H515" i="3" s="1"/>
  <c r="K515" i="3" l="1"/>
  <c r="AE515" i="3" s="1"/>
  <c r="I515" i="3"/>
  <c r="J515" i="3"/>
  <c r="M515" i="3"/>
  <c r="N515" i="3" s="1"/>
  <c r="F515" i="3"/>
  <c r="L515" i="3" l="1"/>
  <c r="V515" i="3"/>
  <c r="W515" i="3" s="1"/>
  <c r="A516" i="3"/>
  <c r="B516" i="3" s="1"/>
  <c r="U515" i="3" l="1"/>
  <c r="Y514" i="3"/>
  <c r="AA516" i="3"/>
  <c r="Z516" i="3"/>
  <c r="AC516" i="3"/>
  <c r="P516" i="3"/>
  <c r="Q516" i="3" s="1"/>
  <c r="R516" i="3" s="1"/>
  <c r="S516" i="3" s="1"/>
  <c r="AD516" i="3"/>
  <c r="T516" i="3" l="1"/>
  <c r="AG516" i="3" s="1"/>
  <c r="D516" i="3" l="1"/>
  <c r="AH516" i="3"/>
  <c r="E516" i="3"/>
  <c r="H516" i="3" s="1"/>
  <c r="F516" i="3" l="1"/>
  <c r="G516" i="3"/>
  <c r="K516" i="3"/>
  <c r="AE516" i="3" s="1"/>
  <c r="I516" i="3" l="1"/>
  <c r="J516" i="3"/>
  <c r="M516" i="3"/>
  <c r="N516" i="3" s="1"/>
  <c r="V516" i="3"/>
  <c r="A517" i="3"/>
  <c r="B517" i="3" s="1"/>
  <c r="W516" i="3" l="1"/>
  <c r="L516" i="3"/>
  <c r="AD517" i="3"/>
  <c r="AC517" i="3"/>
  <c r="P517" i="3"/>
  <c r="Q517" i="3" s="1"/>
  <c r="R517" i="3" s="1"/>
  <c r="S517" i="3" s="1"/>
  <c r="AA517" i="3"/>
  <c r="Z517" i="3"/>
  <c r="U516" i="3" l="1"/>
  <c r="Y515" i="3"/>
  <c r="T517" i="3"/>
  <c r="AG517" i="3" s="1"/>
  <c r="D517" i="3" l="1"/>
  <c r="G517" i="3" s="1"/>
  <c r="AH517" i="3"/>
  <c r="E517" i="3"/>
  <c r="H517" i="3" s="1"/>
  <c r="K517" i="3" s="1"/>
  <c r="AE517" i="3" s="1"/>
  <c r="F517" i="3" l="1"/>
  <c r="I517" i="3"/>
  <c r="J517" i="3"/>
  <c r="M517" i="3"/>
  <c r="N517" i="3" s="1"/>
  <c r="V517" i="3"/>
  <c r="A518" i="3"/>
  <c r="B518" i="3" s="1"/>
  <c r="W517" i="3" l="1"/>
  <c r="L517" i="3"/>
  <c r="AD518" i="3"/>
  <c r="AA518" i="3"/>
  <c r="AC518" i="3"/>
  <c r="Z518" i="3"/>
  <c r="P518" i="3"/>
  <c r="Q518" i="3" s="1"/>
  <c r="R518" i="3" s="1"/>
  <c r="S518" i="3" s="1"/>
  <c r="U517" i="3" l="1"/>
  <c r="Y516" i="3"/>
  <c r="T518" i="3"/>
  <c r="D518" i="3" l="1"/>
  <c r="G518" i="3" s="1"/>
  <c r="E518" i="3"/>
  <c r="H518" i="3" s="1"/>
  <c r="AH518" i="3"/>
  <c r="AG518" i="3"/>
  <c r="F518" i="3" l="1"/>
  <c r="I518" i="3"/>
  <c r="J518" i="3"/>
  <c r="M518" i="3"/>
  <c r="N518" i="3" s="1"/>
  <c r="K518" i="3"/>
  <c r="AE518" i="3" s="1"/>
  <c r="V518" i="3" l="1"/>
  <c r="W518" i="3" s="1"/>
  <c r="A519" i="3"/>
  <c r="B519" i="3" s="1"/>
  <c r="L518" i="3"/>
  <c r="U518" i="3" l="1"/>
  <c r="Y517" i="3"/>
  <c r="AD519" i="3"/>
  <c r="AA519" i="3"/>
  <c r="Z519" i="3"/>
  <c r="AC519" i="3"/>
  <c r="P519" i="3"/>
  <c r="Q519" i="3" s="1"/>
  <c r="R519" i="3" s="1"/>
  <c r="S519" i="3" s="1"/>
  <c r="T519" i="3" l="1"/>
  <c r="D519" i="3" s="1"/>
  <c r="AG519" i="3" l="1"/>
  <c r="G519" i="3"/>
  <c r="AH519" i="3"/>
  <c r="E519" i="3"/>
  <c r="H519" i="3" s="1"/>
  <c r="F519" i="3" l="1"/>
  <c r="I519" i="3"/>
  <c r="J519" i="3"/>
  <c r="M519" i="3"/>
  <c r="N519" i="3" s="1"/>
  <c r="K519" i="3"/>
  <c r="AE519" i="3" s="1"/>
  <c r="V519" i="3" l="1"/>
  <c r="W519" i="3" s="1"/>
  <c r="A520" i="3"/>
  <c r="B520" i="3" s="1"/>
  <c r="L519" i="3"/>
  <c r="U519" i="3" l="1"/>
  <c r="Y518" i="3"/>
  <c r="AA520" i="3"/>
  <c r="AC520" i="3"/>
  <c r="Z520" i="3"/>
  <c r="AD520" i="3"/>
  <c r="P520" i="3"/>
  <c r="Q520" i="3" s="1"/>
  <c r="R520" i="3" s="1"/>
  <c r="S520" i="3" s="1"/>
  <c r="T520" i="3" l="1"/>
  <c r="D520" i="3" s="1"/>
  <c r="AG520" i="3" l="1"/>
  <c r="E520" i="3"/>
  <c r="H520" i="3" s="1"/>
  <c r="K520" i="3" s="1"/>
  <c r="AE520" i="3" s="1"/>
  <c r="AH520" i="3"/>
  <c r="G520" i="3"/>
  <c r="F520" i="3" l="1"/>
  <c r="I520" i="3"/>
  <c r="J520" i="3"/>
  <c r="M520" i="3"/>
  <c r="N520" i="3" s="1"/>
  <c r="V520" i="3"/>
  <c r="A521" i="3"/>
  <c r="B521" i="3" s="1"/>
  <c r="W520" i="3" l="1"/>
  <c r="L520" i="3"/>
  <c r="P521" i="3"/>
  <c r="Q521" i="3" s="1"/>
  <c r="R521" i="3" s="1"/>
  <c r="S521" i="3" s="1"/>
  <c r="AC521" i="3"/>
  <c r="AA521" i="3"/>
  <c r="AD521" i="3"/>
  <c r="Z521" i="3"/>
  <c r="U520" i="3" l="1"/>
  <c r="Y519" i="3"/>
  <c r="T521" i="3"/>
  <c r="AH521" i="3" s="1"/>
  <c r="AG521" i="3" l="1"/>
  <c r="D521" i="3"/>
  <c r="E521" i="3"/>
  <c r="H521" i="3" s="1"/>
  <c r="K521" i="3" s="1"/>
  <c r="AE521" i="3" s="1"/>
  <c r="F521" i="3" l="1"/>
  <c r="G521" i="3"/>
  <c r="I521" i="3" s="1"/>
  <c r="V521" i="3"/>
  <c r="A522" i="3"/>
  <c r="B522" i="3" s="1"/>
  <c r="M521" i="3" l="1"/>
  <c r="N521" i="3" s="1"/>
  <c r="J521" i="3"/>
  <c r="L521" i="3" s="1"/>
  <c r="W521" i="3"/>
  <c r="AC522" i="3"/>
  <c r="P522" i="3"/>
  <c r="Q522" i="3" s="1"/>
  <c r="R522" i="3" s="1"/>
  <c r="S522" i="3" s="1"/>
  <c r="AA522" i="3"/>
  <c r="AD522" i="3"/>
  <c r="Z522" i="3"/>
  <c r="U521" i="3" l="1"/>
  <c r="Y520" i="3"/>
  <c r="T522" i="3"/>
  <c r="AG522" i="3" s="1"/>
  <c r="AH522" i="3" l="1"/>
  <c r="E522" i="3"/>
  <c r="H522" i="3" s="1"/>
  <c r="D522" i="3"/>
  <c r="K522" i="3" l="1"/>
  <c r="AE522" i="3" s="1"/>
  <c r="F522" i="3"/>
  <c r="G522" i="3"/>
  <c r="I522" i="3" l="1"/>
  <c r="J522" i="3"/>
  <c r="M522" i="3"/>
  <c r="N522" i="3" s="1"/>
  <c r="V522" i="3"/>
  <c r="A523" i="3"/>
  <c r="B523" i="3" s="1"/>
  <c r="W522" i="3" l="1"/>
  <c r="L522" i="3"/>
  <c r="AC523" i="3"/>
  <c r="Z523" i="3"/>
  <c r="AD523" i="3"/>
  <c r="AA523" i="3"/>
  <c r="P523" i="3"/>
  <c r="Q523" i="3" s="1"/>
  <c r="R523" i="3" s="1"/>
  <c r="S523" i="3" s="1"/>
  <c r="U522" i="3" l="1"/>
  <c r="Y521" i="3"/>
  <c r="T523" i="3"/>
  <c r="AG523" i="3" s="1"/>
  <c r="AH523" i="3" l="1"/>
  <c r="D523" i="3"/>
  <c r="G523" i="3" s="1"/>
  <c r="E523" i="3"/>
  <c r="H523" i="3" s="1"/>
  <c r="F523" i="3" l="1"/>
  <c r="I523" i="3"/>
  <c r="J523" i="3"/>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Z525" i="3"/>
  <c r="P525" i="3"/>
  <c r="Q525" i="3" s="1"/>
  <c r="R525" i="3" s="1"/>
  <c r="S525" i="3" s="1"/>
  <c r="T525" i="3" l="1"/>
  <c r="AH525" i="3" s="1"/>
  <c r="U524" i="3"/>
  <c r="Y523" i="3"/>
  <c r="AG525" i="3" l="1"/>
  <c r="D525" i="3"/>
  <c r="E525" i="3"/>
  <c r="H525" i="3" s="1"/>
  <c r="F525" i="3" l="1"/>
  <c r="G525" i="3"/>
  <c r="K525" i="3"/>
  <c r="AE525" i="3" s="1"/>
  <c r="I525" i="3" l="1"/>
  <c r="J525" i="3"/>
  <c r="AD525" i="3" s="1"/>
  <c r="M525" i="3"/>
  <c r="N525" i="3" s="1"/>
  <c r="V525" i="3"/>
  <c r="A526" i="3"/>
  <c r="B526" i="3" s="1"/>
  <c r="L525" i="3" l="1"/>
  <c r="W525" i="3"/>
  <c r="AA526" i="3"/>
  <c r="P526" i="3"/>
  <c r="Q526" i="3" s="1"/>
  <c r="R526" i="3" s="1"/>
  <c r="S526" i="3" s="1"/>
  <c r="Z526" i="3"/>
  <c r="AC526" i="3"/>
  <c r="T526" i="3" l="1"/>
  <c r="U525" i="3"/>
  <c r="Y524" i="3"/>
  <c r="D526" i="3" l="1"/>
  <c r="G526" i="3" s="1"/>
  <c r="AH526" i="3"/>
  <c r="E526" i="3"/>
  <c r="H526" i="3" s="1"/>
  <c r="K526" i="3" s="1"/>
  <c r="AE526" i="3" s="1"/>
  <c r="AG526" i="3"/>
  <c r="F526" i="3" l="1"/>
  <c r="V526" i="3"/>
  <c r="A527" i="3"/>
  <c r="B527" i="3" s="1"/>
  <c r="I526" i="3"/>
  <c r="J526" i="3"/>
  <c r="AD526" i="3" s="1"/>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P529" i="3"/>
  <c r="Q529" i="3" s="1"/>
  <c r="R529" i="3" s="1"/>
  <c r="S529" i="3" s="1"/>
  <c r="AA529" i="3"/>
  <c r="L528" i="3" l="1"/>
  <c r="AD528" i="3"/>
  <c r="U528" i="3"/>
  <c r="Y527" i="3"/>
  <c r="T529" i="3"/>
  <c r="AG529" i="3" s="1"/>
  <c r="D529" i="3" l="1"/>
  <c r="G529" i="3" s="1"/>
  <c r="AH529" i="3"/>
  <c r="E529" i="3"/>
  <c r="H529" i="3" s="1"/>
  <c r="K529" i="3" s="1"/>
  <c r="AE529" i="3" s="1"/>
  <c r="F529" i="3" l="1"/>
  <c r="I529" i="3"/>
  <c r="J529" i="3"/>
  <c r="AD529" i="3" s="1"/>
  <c r="M529" i="3"/>
  <c r="N529" i="3" s="1"/>
  <c r="V529" i="3"/>
  <c r="A530" i="3"/>
  <c r="B530" i="3" s="1"/>
  <c r="W529" i="3" l="1"/>
  <c r="L529" i="3"/>
  <c r="Z530" i="3"/>
  <c r="P530" i="3"/>
  <c r="Q530" i="3" s="1"/>
  <c r="R530" i="3" s="1"/>
  <c r="S530" i="3" s="1"/>
  <c r="AC530" i="3"/>
  <c r="AA530" i="3"/>
  <c r="T530" i="3" l="1"/>
  <c r="AG530" i="3" s="1"/>
  <c r="U529" i="3"/>
  <c r="Y528" i="3"/>
  <c r="D530" i="3" l="1"/>
  <c r="G530" i="3" s="1"/>
  <c r="AH530" i="3"/>
  <c r="E530" i="3"/>
  <c r="H530" i="3" s="1"/>
  <c r="F530" i="3" l="1"/>
  <c r="I530" i="3"/>
  <c r="J530" i="3"/>
  <c r="AD530" i="3" s="1"/>
  <c r="M530" i="3"/>
  <c r="N530" i="3" s="1"/>
  <c r="K530" i="3"/>
  <c r="AE530" i="3" s="1"/>
  <c r="V530" i="3" l="1"/>
  <c r="W530" i="3" s="1"/>
  <c r="A531" i="3"/>
  <c r="B531" i="3" s="1"/>
  <c r="L530" i="3"/>
  <c r="U530" i="3" l="1"/>
  <c r="Y529" i="3"/>
  <c r="Z531" i="3"/>
  <c r="AC531" i="3"/>
  <c r="AA531" i="3"/>
  <c r="P531" i="3"/>
  <c r="Q531" i="3" s="1"/>
  <c r="R531" i="3" s="1"/>
  <c r="S531" i="3" s="1"/>
  <c r="T531" i="3" l="1"/>
  <c r="AG531" i="3" s="1"/>
  <c r="AH531" i="3" l="1"/>
  <c r="D531" i="3"/>
  <c r="E531" i="3"/>
  <c r="H531" i="3" s="1"/>
  <c r="K531" i="3" l="1"/>
  <c r="AE531" i="3" s="1"/>
  <c r="F531" i="3"/>
  <c r="G531" i="3"/>
  <c r="I531" i="3" l="1"/>
  <c r="J531" i="3"/>
  <c r="AD531" i="3" s="1"/>
  <c r="M531" i="3"/>
  <c r="N531" i="3" s="1"/>
  <c r="V531" i="3"/>
  <c r="A532" i="3"/>
  <c r="B532" i="3" s="1"/>
  <c r="W531" i="3" l="1"/>
  <c r="L531"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AD532" i="3" s="1"/>
  <c r="M532" i="3"/>
  <c r="N532" i="3" s="1"/>
  <c r="W532" i="3" l="1"/>
  <c r="L532" i="3"/>
  <c r="P533" i="3"/>
  <c r="Q533" i="3" s="1"/>
  <c r="R533" i="3" s="1"/>
  <c r="S533" i="3" s="1"/>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AD533" i="3" s="1"/>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D537" i="3"/>
  <c r="AA537" i="3"/>
  <c r="U536" i="3" l="1"/>
  <c r="Y535" i="3"/>
  <c r="T537" i="3"/>
  <c r="AH537" i="3" s="1"/>
  <c r="AG537" i="3" l="1"/>
  <c r="E537" i="3"/>
  <c r="H537" i="3" s="1"/>
  <c r="D537" i="3"/>
  <c r="K537" i="3" l="1"/>
  <c r="AE537" i="3" s="1"/>
  <c r="F537" i="3"/>
  <c r="G537" i="3"/>
  <c r="I537" i="3" l="1"/>
  <c r="J537" i="3"/>
  <c r="M537" i="3"/>
  <c r="N537" i="3" s="1"/>
  <c r="V537" i="3"/>
  <c r="A538" i="3"/>
  <c r="B538" i="3" s="1"/>
  <c r="W537" i="3" l="1"/>
  <c r="L537" i="3"/>
  <c r="AA538" i="3"/>
  <c r="AC538" i="3"/>
  <c r="AD538" i="3"/>
  <c r="Z538" i="3"/>
  <c r="P538" i="3"/>
  <c r="Q538" i="3" s="1"/>
  <c r="R538" i="3" s="1"/>
  <c r="S538" i="3" s="1"/>
  <c r="T538" i="3" l="1"/>
  <c r="U537" i="3"/>
  <c r="Y536" i="3"/>
  <c r="D538" i="3" l="1"/>
  <c r="G538" i="3" s="1"/>
  <c r="AH538" i="3"/>
  <c r="AG538" i="3"/>
  <c r="E538" i="3"/>
  <c r="H538" i="3" s="1"/>
  <c r="F538" i="3" l="1"/>
  <c r="I538" i="3"/>
  <c r="J538" i="3"/>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D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M545" i="3"/>
  <c r="N545" i="3" s="1"/>
  <c r="AC546" i="3"/>
  <c r="P546" i="3"/>
  <c r="Q546" i="3" s="1"/>
  <c r="R546" i="3" s="1"/>
  <c r="S546" i="3" s="1"/>
  <c r="Z546" i="3"/>
  <c r="AA546" i="3"/>
  <c r="AD546" i="3"/>
  <c r="T546" i="3" l="1"/>
  <c r="L545" i="3"/>
  <c r="U545" i="3" l="1"/>
  <c r="D546" i="3" s="1"/>
  <c r="AG546" i="3"/>
  <c r="AH546" i="3"/>
  <c r="Y544" i="3"/>
  <c r="E546" i="3" l="1"/>
  <c r="H546" i="3" s="1"/>
  <c r="K546" i="3" s="1"/>
  <c r="AE546" i="3" s="1"/>
  <c r="G546" i="3"/>
  <c r="F546" i="3" l="1"/>
  <c r="V546" i="3"/>
  <c r="A547" i="3"/>
  <c r="B547" i="3" s="1"/>
  <c r="I546" i="3"/>
  <c r="J546" i="3"/>
  <c r="M546" i="3"/>
  <c r="N546" i="3" s="1"/>
  <c r="W546" i="3" l="1"/>
  <c r="L546" i="3"/>
  <c r="AC547" i="3"/>
  <c r="AD547" i="3"/>
  <c r="P547" i="3"/>
  <c r="Q547" i="3" s="1"/>
  <c r="R547" i="3" s="1"/>
  <c r="S547" i="3" s="1"/>
  <c r="AA547" i="3"/>
  <c r="Z547" i="3"/>
  <c r="U546" i="3" l="1"/>
  <c r="Y545" i="3"/>
  <c r="T547" i="3"/>
  <c r="AG547" i="3" s="1"/>
  <c r="E547" i="3" l="1"/>
  <c r="H547" i="3" s="1"/>
  <c r="K547" i="3" s="1"/>
  <c r="AE547" i="3" s="1"/>
  <c r="D547" i="3"/>
  <c r="G547" i="3" s="1"/>
  <c r="AH547" i="3"/>
  <c r="F547" i="3" l="1"/>
  <c r="I547" i="3"/>
  <c r="J547" i="3"/>
  <c r="M547" i="3"/>
  <c r="N547" i="3" s="1"/>
  <c r="V547" i="3"/>
  <c r="A548" i="3"/>
  <c r="B548" i="3" s="1"/>
  <c r="W547" i="3" l="1"/>
  <c r="L547" i="3"/>
  <c r="Z548" i="3"/>
  <c r="AA548" i="3"/>
  <c r="P548" i="3"/>
  <c r="Q548" i="3" s="1"/>
  <c r="R548" i="3" s="1"/>
  <c r="S548" i="3" s="1"/>
  <c r="AC548" i="3"/>
  <c r="AD548" i="3"/>
  <c r="U547" i="3" l="1"/>
  <c r="Y546" i="3"/>
  <c r="T548" i="3"/>
  <c r="E548" i="3" l="1"/>
  <c r="H548" i="3" s="1"/>
  <c r="K548" i="3" s="1"/>
  <c r="AE548" i="3" s="1"/>
  <c r="D548" i="3"/>
  <c r="AG548" i="3"/>
  <c r="AH548" i="3"/>
  <c r="V548" i="3" l="1"/>
  <c r="A549" i="3"/>
  <c r="B549" i="3" s="1"/>
  <c r="F548" i="3"/>
  <c r="G548" i="3"/>
  <c r="I548" i="3" l="1"/>
  <c r="W548" i="3" s="1"/>
  <c r="J548" i="3"/>
  <c r="M548" i="3"/>
  <c r="N548" i="3" s="1"/>
  <c r="P549" i="3"/>
  <c r="Q549" i="3" s="1"/>
  <c r="R549" i="3" s="1"/>
  <c r="S549" i="3" s="1"/>
  <c r="AC549" i="3"/>
  <c r="AA549" i="3"/>
  <c r="Z549" i="3"/>
  <c r="AD549" i="3"/>
  <c r="T549" i="3" l="1"/>
  <c r="L548" i="3"/>
  <c r="AH549" i="3" l="1"/>
  <c r="U548" i="3"/>
  <c r="E549" i="3" s="1"/>
  <c r="H549" i="3" s="1"/>
  <c r="AG549" i="3"/>
  <c r="Y547" i="3"/>
  <c r="K549" i="3" l="1"/>
  <c r="AE549" i="3" s="1"/>
  <c r="D549" i="3"/>
  <c r="V549" i="3" l="1"/>
  <c r="A550" i="3"/>
  <c r="B550" i="3" s="1"/>
  <c r="F549" i="3"/>
  <c r="G549" i="3"/>
  <c r="I549" i="3" l="1"/>
  <c r="W549" i="3" s="1"/>
  <c r="J549" i="3"/>
  <c r="M549" i="3"/>
  <c r="N549" i="3" s="1"/>
  <c r="P550" i="3"/>
  <c r="Q550" i="3" s="1"/>
  <c r="R550" i="3" s="1"/>
  <c r="S550" i="3" s="1"/>
  <c r="AA550" i="3"/>
  <c r="AC550" i="3"/>
  <c r="Z550" i="3"/>
  <c r="AD550" i="3"/>
  <c r="T550" i="3" l="1"/>
  <c r="L549" i="3"/>
  <c r="U549" i="3" l="1"/>
  <c r="D550" i="3" s="1"/>
  <c r="AH550" i="3"/>
  <c r="AG550" i="3"/>
  <c r="Y548" i="3"/>
  <c r="E550" i="3" l="1"/>
  <c r="H550" i="3" s="1"/>
  <c r="K550" i="3" s="1"/>
  <c r="AE550" i="3" s="1"/>
  <c r="G550" i="3"/>
  <c r="F550" i="3" l="1"/>
  <c r="I550" i="3"/>
  <c r="J550" i="3"/>
  <c r="M550" i="3"/>
  <c r="N550" i="3" s="1"/>
  <c r="V550" i="3"/>
  <c r="A551" i="3"/>
  <c r="B551" i="3" s="1"/>
  <c r="W550" i="3" l="1"/>
  <c r="L550" i="3"/>
  <c r="AD551" i="3"/>
  <c r="P551" i="3"/>
  <c r="Q551" i="3" s="1"/>
  <c r="R551" i="3" s="1"/>
  <c r="S551" i="3" s="1"/>
  <c r="AC551" i="3"/>
  <c r="AA551" i="3"/>
  <c r="Z551" i="3"/>
  <c r="T551" i="3" l="1"/>
  <c r="AG551" i="3" s="1"/>
  <c r="U550" i="3"/>
  <c r="Y549" i="3"/>
  <c r="D551" i="3" l="1"/>
  <c r="G551" i="3" s="1"/>
  <c r="AH551" i="3"/>
  <c r="E551" i="3"/>
  <c r="H551" i="3" s="1"/>
  <c r="F551" i="3" l="1"/>
  <c r="I551" i="3"/>
  <c r="J551" i="3"/>
  <c r="M551" i="3"/>
  <c r="N551" i="3" s="1"/>
  <c r="K551" i="3"/>
  <c r="AE551" i="3" s="1"/>
  <c r="V551" i="3" l="1"/>
  <c r="W551" i="3" s="1"/>
  <c r="A552" i="3"/>
  <c r="B552" i="3" s="1"/>
  <c r="L551" i="3"/>
  <c r="U551" i="3" l="1"/>
  <c r="Y550" i="3"/>
  <c r="AA552" i="3"/>
  <c r="P552" i="3"/>
  <c r="Q552" i="3" s="1"/>
  <c r="R552" i="3" s="1"/>
  <c r="S552" i="3" s="1"/>
  <c r="AC552" i="3"/>
  <c r="Z552" i="3"/>
  <c r="AD552" i="3"/>
  <c r="T552" i="3" l="1"/>
  <c r="D552" i="3" s="1"/>
  <c r="AG552" i="3" l="1"/>
  <c r="AH552" i="3"/>
  <c r="E552" i="3"/>
  <c r="H552" i="3" s="1"/>
  <c r="K552" i="3" s="1"/>
  <c r="AE552" i="3" s="1"/>
  <c r="G552" i="3"/>
  <c r="F552" i="3" l="1"/>
  <c r="I552" i="3"/>
  <c r="J552" i="3"/>
  <c r="M552" i="3"/>
  <c r="N552" i="3" s="1"/>
  <c r="V552" i="3"/>
  <c r="A553" i="3"/>
  <c r="B553" i="3" s="1"/>
  <c r="W552" i="3" l="1"/>
  <c r="L552" i="3"/>
  <c r="P553" i="3"/>
  <c r="Q553" i="3" s="1"/>
  <c r="R553" i="3" s="1"/>
  <c r="S553" i="3" s="1"/>
  <c r="Z553" i="3"/>
  <c r="AC553" i="3"/>
  <c r="AA553" i="3"/>
  <c r="AD553" i="3"/>
  <c r="T553" i="3" l="1"/>
  <c r="U552" i="3"/>
  <c r="Y551" i="3"/>
  <c r="D553" i="3" l="1"/>
  <c r="G553" i="3" s="1"/>
  <c r="AH553" i="3"/>
  <c r="AG553" i="3"/>
  <c r="E553" i="3"/>
  <c r="H553" i="3" s="1"/>
  <c r="K553" i="3" l="1"/>
  <c r="AE553" i="3" s="1"/>
  <c r="F553" i="3"/>
  <c r="I553" i="3"/>
  <c r="J553" i="3"/>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AD555" i="3"/>
  <c r="L554" i="3" l="1"/>
  <c r="T555" i="3"/>
  <c r="U554" i="3" l="1"/>
  <c r="E555" i="3" s="1"/>
  <c r="H555" i="3" s="1"/>
  <c r="AG555" i="3"/>
  <c r="AH555" i="3"/>
  <c r="Y553" i="3"/>
  <c r="K555" i="3" l="1"/>
  <c r="AE555" i="3" s="1"/>
  <c r="D555" i="3"/>
  <c r="F555" i="3" l="1"/>
  <c r="G555" i="3"/>
  <c r="V555" i="3"/>
  <c r="A556" i="3"/>
  <c r="B556" i="3" s="1"/>
  <c r="P556" i="3" l="1"/>
  <c r="Q556" i="3" s="1"/>
  <c r="R556" i="3" s="1"/>
  <c r="S556" i="3" s="1"/>
  <c r="AA556" i="3"/>
  <c r="AD556" i="3"/>
  <c r="Z556" i="3"/>
  <c r="AC556" i="3"/>
  <c r="I555" i="3"/>
  <c r="W555" i="3" s="1"/>
  <c r="J555" i="3"/>
  <c r="M555" i="3"/>
  <c r="N555" i="3" s="1"/>
  <c r="T556" i="3" l="1"/>
  <c r="L555" i="3"/>
  <c r="AH556" i="3" l="1"/>
  <c r="U555" i="3"/>
  <c r="D556" i="3" s="1"/>
  <c r="AG556" i="3"/>
  <c r="Y554" i="3"/>
  <c r="E556" i="3" l="1"/>
  <c r="H556" i="3" s="1"/>
  <c r="K556" i="3" s="1"/>
  <c r="AE556" i="3" s="1"/>
  <c r="G556" i="3"/>
  <c r="F556" i="3" l="1"/>
  <c r="I556" i="3"/>
  <c r="J556" i="3"/>
  <c r="M556" i="3"/>
  <c r="N556" i="3" s="1"/>
  <c r="V556" i="3"/>
  <c r="A557" i="3"/>
  <c r="B557" i="3" s="1"/>
  <c r="W556" i="3" l="1"/>
  <c r="L556" i="3"/>
  <c r="AD557" i="3"/>
  <c r="P557" i="3"/>
  <c r="Q557" i="3" s="1"/>
  <c r="R557" i="3" s="1"/>
  <c r="S557" i="3" s="1"/>
  <c r="AA557" i="3"/>
  <c r="AC557" i="3"/>
  <c r="Z557" i="3"/>
  <c r="U556" i="3" l="1"/>
  <c r="Y555" i="3"/>
  <c r="T557" i="3"/>
  <c r="AH557" i="3" s="1"/>
  <c r="D557" i="3" l="1"/>
  <c r="G557" i="3" s="1"/>
  <c r="AG557" i="3"/>
  <c r="E557" i="3"/>
  <c r="H557" i="3" s="1"/>
  <c r="K557" i="3" s="1"/>
  <c r="AE557" i="3" s="1"/>
  <c r="F557" i="3" l="1"/>
  <c r="I557" i="3"/>
  <c r="J557" i="3"/>
  <c r="M557" i="3"/>
  <c r="N557" i="3" s="1"/>
  <c r="V557" i="3"/>
  <c r="A558" i="3"/>
  <c r="B558" i="3" s="1"/>
  <c r="W557" i="3" l="1"/>
  <c r="L557" i="3"/>
  <c r="AA558" i="3"/>
  <c r="AD558" i="3"/>
  <c r="P558" i="3"/>
  <c r="Q558" i="3" s="1"/>
  <c r="R558" i="3" s="1"/>
  <c r="S558" i="3" s="1"/>
  <c r="Z558" i="3"/>
  <c r="AC558" i="3"/>
  <c r="T558" i="3" l="1"/>
  <c r="AG558" i="3" s="1"/>
  <c r="U557" i="3"/>
  <c r="Y556" i="3"/>
  <c r="E558" i="3" l="1"/>
  <c r="H558" i="3" s="1"/>
  <c r="AH558" i="3"/>
  <c r="D558" i="3"/>
  <c r="F558" i="3" l="1"/>
  <c r="G558" i="3"/>
  <c r="K558" i="3"/>
  <c r="AE558" i="3" s="1"/>
  <c r="I558" i="3" l="1"/>
  <c r="J558" i="3"/>
  <c r="M558" i="3"/>
  <c r="N558" i="3" s="1"/>
  <c r="V558" i="3"/>
  <c r="A559" i="3"/>
  <c r="B559" i="3" s="1"/>
  <c r="W558" i="3" l="1"/>
  <c r="L558" i="3"/>
  <c r="AC559" i="3"/>
  <c r="P559" i="3"/>
  <c r="Q559" i="3" s="1"/>
  <c r="R559" i="3" s="1"/>
  <c r="S559" i="3" s="1"/>
  <c r="AA559" i="3"/>
  <c r="Z559" i="3"/>
  <c r="AD559" i="3"/>
  <c r="T559" i="3" l="1"/>
  <c r="U558" i="3"/>
  <c r="Y557" i="3"/>
  <c r="E559" i="3" l="1"/>
  <c r="H559" i="3" s="1"/>
  <c r="K559" i="3" s="1"/>
  <c r="AE559" i="3" s="1"/>
  <c r="AH559" i="3"/>
  <c r="AG559" i="3"/>
  <c r="D559" i="3"/>
  <c r="V559" i="3" l="1"/>
  <c r="A560" i="3"/>
  <c r="B560" i="3" s="1"/>
  <c r="F559" i="3"/>
  <c r="G559" i="3"/>
  <c r="I559" i="3" l="1"/>
  <c r="W559" i="3" s="1"/>
  <c r="J559" i="3"/>
  <c r="M559" i="3"/>
  <c r="N559" i="3" s="1"/>
  <c r="AD560" i="3"/>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M560" i="3"/>
  <c r="N560" i="3" s="1"/>
  <c r="W560" i="3" l="1"/>
  <c r="L560" i="3"/>
  <c r="AA561" i="3"/>
  <c r="P561" i="3"/>
  <c r="Q561" i="3" s="1"/>
  <c r="R561" i="3" s="1"/>
  <c r="S561" i="3" s="1"/>
  <c r="Z561" i="3"/>
  <c r="AD561" i="3"/>
  <c r="AC561" i="3"/>
  <c r="U560" i="3" l="1"/>
  <c r="Y559" i="3"/>
  <c r="T561" i="3"/>
  <c r="E561" i="3" l="1"/>
  <c r="H561" i="3" s="1"/>
  <c r="K561" i="3" s="1"/>
  <c r="AE561" i="3" s="1"/>
  <c r="D561" i="3"/>
  <c r="AH561" i="3"/>
  <c r="AG561" i="3"/>
  <c r="F561" i="3" l="1"/>
  <c r="G561" i="3"/>
  <c r="M561" i="3" s="1"/>
  <c r="N561" i="3" s="1"/>
  <c r="V561" i="3"/>
  <c r="A562" i="3"/>
  <c r="B562" i="3" s="1"/>
  <c r="I561" i="3" l="1"/>
  <c r="W561" i="3" s="1"/>
  <c r="J561" i="3"/>
  <c r="L561" i="3" s="1"/>
  <c r="Z562" i="3"/>
  <c r="AA562" i="3"/>
  <c r="AD562" i="3"/>
  <c r="P562" i="3"/>
  <c r="Q562" i="3" s="1"/>
  <c r="R562" i="3" s="1"/>
  <c r="S562" i="3" s="1"/>
  <c r="AC562" i="3"/>
  <c r="U561" i="3" l="1"/>
  <c r="Y560" i="3"/>
  <c r="T562" i="3"/>
  <c r="AH562" i="3" s="1"/>
  <c r="AG562" i="3" l="1"/>
  <c r="E562" i="3"/>
  <c r="H562" i="3" s="1"/>
  <c r="K562" i="3" s="1"/>
  <c r="AE562" i="3" s="1"/>
  <c r="D562" i="3"/>
  <c r="F562" i="3" l="1"/>
  <c r="G562" i="3"/>
  <c r="J562" i="3" s="1"/>
  <c r="V562" i="3"/>
  <c r="A563" i="3"/>
  <c r="B563" i="3" s="1"/>
  <c r="M562" i="3" l="1"/>
  <c r="N562" i="3" s="1"/>
  <c r="I562" i="3"/>
  <c r="W562" i="3" s="1"/>
  <c r="L562" i="3"/>
  <c r="Z563" i="3"/>
  <c r="P563" i="3"/>
  <c r="Q563" i="3" s="1"/>
  <c r="R563" i="3" s="1"/>
  <c r="S563" i="3" s="1"/>
  <c r="AC563" i="3"/>
  <c r="AA563" i="3"/>
  <c r="AD563" i="3"/>
  <c r="U562" i="3" l="1"/>
  <c r="Y561" i="3"/>
  <c r="T563" i="3"/>
  <c r="AH563" i="3" s="1"/>
  <c r="AG563" i="3" l="1"/>
  <c r="D563" i="3"/>
  <c r="E563" i="3"/>
  <c r="H563" i="3" s="1"/>
  <c r="K563" i="3" s="1"/>
  <c r="AE563" i="3" s="1"/>
  <c r="F563" i="3" l="1"/>
  <c r="G563" i="3"/>
  <c r="M563" i="3" s="1"/>
  <c r="N563" i="3" s="1"/>
  <c r="V563" i="3"/>
  <c r="A564" i="3"/>
  <c r="B564" i="3" s="1"/>
  <c r="I563" i="3" l="1"/>
  <c r="W563" i="3" s="1"/>
  <c r="J563" i="3"/>
  <c r="L563" i="3" s="1"/>
  <c r="Z564" i="3"/>
  <c r="P564" i="3"/>
  <c r="Q564" i="3" s="1"/>
  <c r="R564" i="3" s="1"/>
  <c r="S564" i="3" s="1"/>
  <c r="AC564" i="3"/>
  <c r="AA564" i="3"/>
  <c r="U563" i="3" l="1"/>
  <c r="Y562" i="3"/>
  <c r="T564" i="3"/>
  <c r="AH564" i="3" s="1"/>
  <c r="D564" i="3" l="1"/>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AD565" i="3"/>
  <c r="U564" i="3" l="1"/>
  <c r="Y563" i="3"/>
  <c r="T565" i="3"/>
  <c r="E565" i="3" l="1"/>
  <c r="H565" i="3" s="1"/>
  <c r="K565" i="3" s="1"/>
  <c r="AE565" i="3" s="1"/>
  <c r="D565" i="3"/>
  <c r="AG565" i="3"/>
  <c r="AH565" i="3"/>
  <c r="V565" i="3" l="1"/>
  <c r="A566" i="3"/>
  <c r="B566" i="3" s="1"/>
  <c r="F565" i="3"/>
  <c r="G565" i="3"/>
  <c r="I565" i="3" l="1"/>
  <c r="W565" i="3" s="1"/>
  <c r="J565" i="3"/>
  <c r="M565" i="3"/>
  <c r="N565" i="3" s="1"/>
  <c r="AD566" i="3"/>
  <c r="Z566" i="3"/>
  <c r="AA566" i="3"/>
  <c r="P566" i="3"/>
  <c r="Q566" i="3" s="1"/>
  <c r="R566" i="3" s="1"/>
  <c r="S566" i="3" s="1"/>
  <c r="AC566" i="3"/>
  <c r="L565" i="3" l="1"/>
  <c r="T566" i="3"/>
  <c r="AG566" i="3" l="1"/>
  <c r="AH566" i="3"/>
  <c r="U565" i="3"/>
  <c r="D566" i="3" s="1"/>
  <c r="Y564" i="3"/>
  <c r="G566" i="3" l="1"/>
  <c r="E566" i="3"/>
  <c r="H566" i="3" s="1"/>
  <c r="F566" i="3" l="1"/>
  <c r="I566" i="3"/>
  <c r="J566" i="3"/>
  <c r="M566" i="3"/>
  <c r="N566" i="3" s="1"/>
  <c r="K566" i="3"/>
  <c r="AE566" i="3" s="1"/>
  <c r="V566" i="3" l="1"/>
  <c r="W566" i="3" s="1"/>
  <c r="A567" i="3"/>
  <c r="B567" i="3" s="1"/>
  <c r="L566" i="3"/>
  <c r="U566" i="3" l="1"/>
  <c r="Y565" i="3"/>
  <c r="P567" i="3"/>
  <c r="Q567" i="3" s="1"/>
  <c r="R567" i="3" s="1"/>
  <c r="S567" i="3" s="1"/>
  <c r="AA567" i="3"/>
  <c r="AD567" i="3"/>
  <c r="Z567" i="3"/>
  <c r="AC567" i="3"/>
  <c r="T567" i="3" l="1"/>
  <c r="AG567" i="3" s="1"/>
  <c r="AH567" i="3" l="1"/>
  <c r="E567" i="3"/>
  <c r="H567" i="3" s="1"/>
  <c r="K567" i="3" s="1"/>
  <c r="AE567" i="3" s="1"/>
  <c r="D567" i="3"/>
  <c r="G567" i="3" s="1"/>
  <c r="F567" i="3" l="1"/>
  <c r="I567" i="3"/>
  <c r="J567" i="3"/>
  <c r="M567" i="3"/>
  <c r="N567" i="3" s="1"/>
  <c r="V567" i="3"/>
  <c r="A568" i="3"/>
  <c r="B568" i="3" s="1"/>
  <c r="W567" i="3" l="1"/>
  <c r="L567" i="3"/>
  <c r="AC568" i="3"/>
  <c r="AD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M568" i="3"/>
  <c r="N568" i="3" s="1"/>
  <c r="L568" i="3" l="1"/>
  <c r="W568" i="3"/>
  <c r="AA569" i="3"/>
  <c r="AD569" i="3"/>
  <c r="P569" i="3"/>
  <c r="Q569" i="3" s="1"/>
  <c r="R569" i="3" s="1"/>
  <c r="S569" i="3" s="1"/>
  <c r="AC569" i="3"/>
  <c r="Z569" i="3"/>
  <c r="T569" i="3" l="1"/>
  <c r="AH569" i="3" s="1"/>
  <c r="U568" i="3"/>
  <c r="Y567" i="3"/>
  <c r="D569" i="3" l="1"/>
  <c r="G569" i="3" s="1"/>
  <c r="AG569" i="3"/>
  <c r="E569" i="3"/>
  <c r="H569" i="3" s="1"/>
  <c r="F569" i="3" l="1"/>
  <c r="I569" i="3"/>
  <c r="J569" i="3"/>
  <c r="M569" i="3"/>
  <c r="N569" i="3" s="1"/>
  <c r="K569" i="3"/>
  <c r="AE569" i="3" s="1"/>
  <c r="L569" i="3" l="1"/>
  <c r="V569" i="3"/>
  <c r="W569" i="3" s="1"/>
  <c r="A570" i="3"/>
  <c r="B570" i="3" s="1"/>
  <c r="AC570" i="3" l="1"/>
  <c r="P570" i="3"/>
  <c r="Q570" i="3" s="1"/>
  <c r="R570" i="3" s="1"/>
  <c r="S570" i="3" s="1"/>
  <c r="AD570" i="3"/>
  <c r="Z570" i="3"/>
  <c r="AA570" i="3"/>
  <c r="U569" i="3"/>
  <c r="Y568" i="3"/>
  <c r="T570" i="3" l="1"/>
  <c r="D570" i="3" l="1"/>
  <c r="E570" i="3"/>
  <c r="H570" i="3" s="1"/>
  <c r="AG570" i="3"/>
  <c r="AH570" i="3"/>
  <c r="F570" i="3" l="1"/>
  <c r="G570" i="3"/>
  <c r="K570" i="3"/>
  <c r="AE570" i="3" s="1"/>
  <c r="V570" i="3" l="1"/>
  <c r="A571" i="3"/>
  <c r="B571" i="3" s="1"/>
  <c r="I570" i="3"/>
  <c r="J570" i="3"/>
  <c r="M570" i="3"/>
  <c r="N570" i="3" s="1"/>
  <c r="W570" i="3" l="1"/>
  <c r="L570" i="3"/>
  <c r="P571" i="3"/>
  <c r="Q571" i="3" s="1"/>
  <c r="R571" i="3" s="1"/>
  <c r="S571" i="3" s="1"/>
  <c r="AD571" i="3"/>
  <c r="AA571" i="3"/>
  <c r="Z571" i="3"/>
  <c r="AC571" i="3"/>
  <c r="U570" i="3" l="1"/>
  <c r="Y569" i="3"/>
  <c r="T571" i="3"/>
  <c r="D571" i="3" l="1"/>
  <c r="G571" i="3" s="1"/>
  <c r="AG571" i="3"/>
  <c r="AH571" i="3"/>
  <c r="E571" i="3"/>
  <c r="H571" i="3" s="1"/>
  <c r="K571" i="3" s="1"/>
  <c r="AE571" i="3" s="1"/>
  <c r="F571" i="3" l="1"/>
  <c r="V571" i="3"/>
  <c r="A572" i="3"/>
  <c r="B572" i="3" s="1"/>
  <c r="I571" i="3"/>
  <c r="J571" i="3"/>
  <c r="M571" i="3"/>
  <c r="N571" i="3" s="1"/>
  <c r="W571" i="3" l="1"/>
  <c r="L571" i="3"/>
  <c r="AC572" i="3"/>
  <c r="AD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M572" i="3"/>
  <c r="N572" i="3" s="1"/>
  <c r="W572" i="3" l="1"/>
  <c r="L572" i="3"/>
  <c r="P573" i="3"/>
  <c r="Q573" i="3" s="1"/>
  <c r="R573" i="3" s="1"/>
  <c r="S573" i="3" s="1"/>
  <c r="Z573" i="3"/>
  <c r="AC573" i="3"/>
  <c r="AA573" i="3"/>
  <c r="AD573" i="3"/>
  <c r="U572" i="3" l="1"/>
  <c r="Y571" i="3"/>
  <c r="T573" i="3"/>
  <c r="E573" i="3" l="1"/>
  <c r="H573" i="3" s="1"/>
  <c r="K573" i="3" s="1"/>
  <c r="AE573" i="3" s="1"/>
  <c r="D573" i="3"/>
  <c r="AH573" i="3"/>
  <c r="AG573" i="3"/>
  <c r="F573" i="3" l="1"/>
  <c r="G573" i="3"/>
  <c r="I573" i="3" s="1"/>
  <c r="V573" i="3"/>
  <c r="A574" i="3"/>
  <c r="B574" i="3" s="1"/>
  <c r="J573" i="3" l="1"/>
  <c r="L573" i="3" s="1"/>
  <c r="M573" i="3"/>
  <c r="N573" i="3" s="1"/>
  <c r="W573" i="3"/>
  <c r="AA574" i="3"/>
  <c r="Z574" i="3"/>
  <c r="P574" i="3"/>
  <c r="Q574" i="3" s="1"/>
  <c r="R574" i="3" s="1"/>
  <c r="S574" i="3" s="1"/>
  <c r="AC574" i="3"/>
  <c r="U573" i="3" l="1"/>
  <c r="Y572" i="3"/>
  <c r="T574" i="3"/>
  <c r="AH574" i="3" s="1"/>
  <c r="D574" i="3" l="1"/>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AD575" i="3"/>
  <c r="T575" i="3" l="1"/>
  <c r="AH575" i="3" s="1"/>
  <c r="AG575" i="3" l="1"/>
  <c r="E575" i="3"/>
  <c r="H575" i="3" s="1"/>
  <c r="D575" i="3"/>
  <c r="K575" i="3" l="1"/>
  <c r="AE575" i="3" s="1"/>
  <c r="F575" i="3"/>
  <c r="G575" i="3"/>
  <c r="V575" i="3" l="1"/>
  <c r="A576" i="3"/>
  <c r="B576" i="3" s="1"/>
  <c r="I575" i="3"/>
  <c r="J575" i="3"/>
  <c r="M575" i="3"/>
  <c r="N575" i="3" s="1"/>
  <c r="W575" i="3" l="1"/>
  <c r="L575" i="3"/>
  <c r="AA576" i="3"/>
  <c r="P576" i="3"/>
  <c r="Q576" i="3" s="1"/>
  <c r="R576" i="3" s="1"/>
  <c r="S576" i="3" s="1"/>
  <c r="AD576" i="3"/>
  <c r="Z576" i="3"/>
  <c r="AC576" i="3"/>
  <c r="U575" i="3" l="1"/>
  <c r="Y574" i="3"/>
  <c r="T576" i="3"/>
  <c r="E576" i="3" l="1"/>
  <c r="H576" i="3" s="1"/>
  <c r="K576" i="3" s="1"/>
  <c r="AE576" i="3" s="1"/>
  <c r="AH576" i="3"/>
  <c r="D576" i="3"/>
  <c r="G576" i="3" s="1"/>
  <c r="AG576" i="3"/>
  <c r="F576" i="3" l="1"/>
  <c r="V576" i="3"/>
  <c r="A577" i="3"/>
  <c r="B577" i="3" s="1"/>
  <c r="I576" i="3"/>
  <c r="J576" i="3"/>
  <c r="M576" i="3"/>
  <c r="N576" i="3" s="1"/>
  <c r="W576" i="3" l="1"/>
  <c r="L576" i="3"/>
  <c r="P577" i="3"/>
  <c r="Q577" i="3" s="1"/>
  <c r="R577" i="3" s="1"/>
  <c r="S577" i="3" s="1"/>
  <c r="AD577" i="3"/>
  <c r="AC577" i="3"/>
  <c r="AA577" i="3"/>
  <c r="Z577" i="3"/>
  <c r="U576" i="3" l="1"/>
  <c r="Y575" i="3"/>
  <c r="T577" i="3"/>
  <c r="AH577" i="3" s="1"/>
  <c r="E577" i="3" l="1"/>
  <c r="H577" i="3" s="1"/>
  <c r="K577" i="3" s="1"/>
  <c r="AE577" i="3" s="1"/>
  <c r="AG577" i="3"/>
  <c r="D577" i="3"/>
  <c r="F577" i="3" l="1"/>
  <c r="G577" i="3"/>
  <c r="J577" i="3" s="1"/>
  <c r="V577" i="3"/>
  <c r="A578" i="3"/>
  <c r="B578" i="3" s="1"/>
  <c r="M577" i="3" l="1"/>
  <c r="N577" i="3" s="1"/>
  <c r="I577" i="3"/>
  <c r="W577" i="3" s="1"/>
  <c r="L577" i="3"/>
  <c r="AC578" i="3"/>
  <c r="AD578" i="3"/>
  <c r="P578" i="3"/>
  <c r="Q578" i="3" s="1"/>
  <c r="R578" i="3" s="1"/>
  <c r="S578" i="3" s="1"/>
  <c r="Z578" i="3"/>
  <c r="AA578" i="3"/>
  <c r="U577" i="3" l="1"/>
  <c r="Y576" i="3"/>
  <c r="T578" i="3"/>
  <c r="AG578" i="3" s="1"/>
  <c r="D578" i="3" l="1"/>
  <c r="G578" i="3" s="1"/>
  <c r="AH578" i="3"/>
  <c r="E578" i="3"/>
  <c r="H578" i="3" s="1"/>
  <c r="K578" i="3" s="1"/>
  <c r="AE578" i="3" s="1"/>
  <c r="F578" i="3" l="1"/>
  <c r="I578" i="3"/>
  <c r="J578" i="3"/>
  <c r="M578" i="3"/>
  <c r="N578" i="3" s="1"/>
  <c r="V578" i="3"/>
  <c r="A579" i="3"/>
  <c r="B579" i="3" s="1"/>
  <c r="W578" i="3" l="1"/>
  <c r="L578" i="3"/>
  <c r="AC579" i="3"/>
  <c r="Z579" i="3"/>
  <c r="P579" i="3"/>
  <c r="Q579" i="3" s="1"/>
  <c r="R579" i="3" s="1"/>
  <c r="S579" i="3" s="1"/>
  <c r="AD579" i="3"/>
  <c r="AA579" i="3"/>
  <c r="U578" i="3" l="1"/>
  <c r="Y577" i="3"/>
  <c r="T579" i="3"/>
  <c r="AG579" i="3" s="1"/>
  <c r="E579" i="3" l="1"/>
  <c r="H579" i="3" s="1"/>
  <c r="K579" i="3" s="1"/>
  <c r="AE579" i="3" s="1"/>
  <c r="AH579" i="3"/>
  <c r="D579" i="3"/>
  <c r="F579" i="3" l="1"/>
  <c r="G579" i="3"/>
  <c r="M579" i="3" s="1"/>
  <c r="N579" i="3" s="1"/>
  <c r="V579" i="3"/>
  <c r="A580" i="3"/>
  <c r="B580" i="3" s="1"/>
  <c r="I579" i="3" l="1"/>
  <c r="W579" i="3" s="1"/>
  <c r="J579" i="3"/>
  <c r="L579" i="3" s="1"/>
  <c r="AD580" i="3"/>
  <c r="P580" i="3"/>
  <c r="Q580" i="3" s="1"/>
  <c r="R580" i="3" s="1"/>
  <c r="S580" i="3" s="1"/>
  <c r="AA580" i="3"/>
  <c r="AC580" i="3"/>
  <c r="Z580" i="3"/>
  <c r="U579" i="3" l="1"/>
  <c r="Y578" i="3"/>
  <c r="T580" i="3"/>
  <c r="AH580" i="3" s="1"/>
  <c r="E580" i="3" l="1"/>
  <c r="H580" i="3" s="1"/>
  <c r="D580" i="3"/>
  <c r="AG580" i="3"/>
  <c r="K580" i="3" l="1"/>
  <c r="AE580" i="3" s="1"/>
  <c r="F580" i="3"/>
  <c r="G580" i="3"/>
  <c r="I580" i="3" l="1"/>
  <c r="J580" i="3"/>
  <c r="M580" i="3"/>
  <c r="N580" i="3" s="1"/>
  <c r="V580" i="3"/>
  <c r="A581" i="3"/>
  <c r="B581" i="3" s="1"/>
  <c r="W580" i="3" l="1"/>
  <c r="P581" i="3"/>
  <c r="Q581" i="3" s="1"/>
  <c r="R581" i="3" s="1"/>
  <c r="S581" i="3" s="1"/>
  <c r="Z581" i="3"/>
  <c r="AA581" i="3"/>
  <c r="AC581" i="3"/>
  <c r="AD581" i="3"/>
  <c r="L580" i="3"/>
  <c r="T581" i="3" l="1"/>
  <c r="AH581" i="3" s="1"/>
  <c r="U580" i="3"/>
  <c r="Y579" i="3"/>
  <c r="D581" i="3" l="1"/>
  <c r="G581" i="3" s="1"/>
  <c r="AG581" i="3"/>
  <c r="E581" i="3"/>
  <c r="H581" i="3" s="1"/>
  <c r="I581" i="3" l="1"/>
  <c r="J581" i="3"/>
  <c r="M581" i="3"/>
  <c r="N581" i="3" s="1"/>
  <c r="F581" i="3"/>
  <c r="K581" i="3"/>
  <c r="AE581" i="3" s="1"/>
  <c r="L581" i="3" l="1"/>
  <c r="V581" i="3"/>
  <c r="W581" i="3" s="1"/>
  <c r="A582" i="3"/>
  <c r="B582" i="3" s="1"/>
  <c r="P582" i="3" l="1"/>
  <c r="Q582" i="3" s="1"/>
  <c r="R582" i="3" s="1"/>
  <c r="S582" i="3" s="1"/>
  <c r="Z582" i="3"/>
  <c r="AD582" i="3"/>
  <c r="AC582" i="3"/>
  <c r="AA582" i="3"/>
  <c r="U581" i="3"/>
  <c r="Y580" i="3"/>
  <c r="T582" i="3" l="1"/>
  <c r="AH582" i="3" s="1"/>
  <c r="E582" i="3" l="1"/>
  <c r="H582" i="3" s="1"/>
  <c r="K582" i="3" s="1"/>
  <c r="AE582" i="3" s="1"/>
  <c r="AG582" i="3"/>
  <c r="D582" i="3"/>
  <c r="V582" i="3" l="1"/>
  <c r="A583" i="3"/>
  <c r="B583" i="3" s="1"/>
  <c r="F582" i="3"/>
  <c r="G582" i="3"/>
  <c r="I582" i="3" l="1"/>
  <c r="W582" i="3" s="1"/>
  <c r="J582" i="3"/>
  <c r="M582" i="3"/>
  <c r="N582" i="3" s="1"/>
  <c r="AD583" i="3"/>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AD587" i="3"/>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M587" i="3"/>
  <c r="N587" i="3" s="1"/>
  <c r="L587" i="3" l="1"/>
  <c r="V587" i="3"/>
  <c r="W587" i="3" s="1"/>
  <c r="A588" i="3"/>
  <c r="B588" i="3" s="1"/>
  <c r="U587" i="3" l="1"/>
  <c r="Y586" i="3"/>
  <c r="P588" i="3"/>
  <c r="Q588" i="3" s="1"/>
  <c r="R588" i="3" s="1"/>
  <c r="S588" i="3" s="1"/>
  <c r="AD588" i="3"/>
  <c r="Z588" i="3"/>
  <c r="AC588" i="3"/>
  <c r="AA588" i="3"/>
  <c r="T588" i="3" l="1"/>
  <c r="AH588" i="3" s="1"/>
  <c r="E588" i="3" l="1"/>
  <c r="H588" i="3" s="1"/>
  <c r="K588" i="3" s="1"/>
  <c r="AE588" i="3" s="1"/>
  <c r="AG588" i="3"/>
  <c r="D588" i="3"/>
  <c r="G588" i="3" s="1"/>
  <c r="F588" i="3" l="1"/>
  <c r="I588" i="3"/>
  <c r="J588" i="3"/>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AD595" i="3"/>
  <c r="T595" i="3" l="1"/>
  <c r="L594" i="3"/>
  <c r="AH595" i="3" l="1"/>
  <c r="U594" i="3"/>
  <c r="E595" i="3" s="1"/>
  <c r="H595" i="3" s="1"/>
  <c r="AG595" i="3"/>
  <c r="Y593" i="3"/>
  <c r="D595" i="3" l="1"/>
  <c r="G595" i="3" s="1"/>
  <c r="K595" i="3"/>
  <c r="AE595" i="3" s="1"/>
  <c r="F595" i="3" l="1"/>
  <c r="V595" i="3"/>
  <c r="A596" i="3"/>
  <c r="B596" i="3" s="1"/>
  <c r="I595" i="3"/>
  <c r="J595" i="3"/>
  <c r="M595" i="3"/>
  <c r="N595" i="3" s="1"/>
  <c r="W595" i="3" l="1"/>
  <c r="L595" i="3"/>
  <c r="P596" i="3"/>
  <c r="Q596" i="3" s="1"/>
  <c r="R596" i="3" s="1"/>
  <c r="S596" i="3" s="1"/>
  <c r="AA596" i="3"/>
  <c r="AC596" i="3"/>
  <c r="AD596" i="3"/>
  <c r="Z596" i="3"/>
  <c r="T596" i="3" l="1"/>
  <c r="AG596" i="3" s="1"/>
  <c r="U595" i="3"/>
  <c r="Y594" i="3"/>
  <c r="D596" i="3" l="1"/>
  <c r="E596" i="3"/>
  <c r="H596" i="3" s="1"/>
  <c r="AH596" i="3"/>
  <c r="F596" i="3" l="1"/>
  <c r="G596" i="3"/>
  <c r="K596" i="3"/>
  <c r="AE596" i="3" s="1"/>
  <c r="V596" i="3" l="1"/>
  <c r="A597" i="3"/>
  <c r="B597" i="3" s="1"/>
  <c r="I596" i="3"/>
  <c r="J596" i="3"/>
  <c r="M596" i="3"/>
  <c r="N596" i="3" s="1"/>
  <c r="W596" i="3" l="1"/>
  <c r="L596" i="3"/>
  <c r="Z597" i="3"/>
  <c r="P597" i="3"/>
  <c r="Q597" i="3" s="1"/>
  <c r="R597" i="3" s="1"/>
  <c r="S597" i="3" s="1"/>
  <c r="AA597" i="3"/>
  <c r="AC597" i="3"/>
  <c r="AD597" i="3"/>
  <c r="U596" i="3" l="1"/>
  <c r="Y595" i="3"/>
  <c r="T597" i="3"/>
  <c r="E597" i="3" l="1"/>
  <c r="H597" i="3" s="1"/>
  <c r="K597" i="3" s="1"/>
  <c r="AE597" i="3" s="1"/>
  <c r="AH597" i="3"/>
  <c r="AG597" i="3"/>
  <c r="D597" i="3"/>
  <c r="G597" i="3" s="1"/>
  <c r="F597" i="3" l="1"/>
  <c r="I597" i="3"/>
  <c r="J597" i="3"/>
  <c r="M597" i="3"/>
  <c r="N597" i="3" s="1"/>
  <c r="V597" i="3"/>
  <c r="A598" i="3"/>
  <c r="B598" i="3" s="1"/>
  <c r="W597" i="3" l="1"/>
  <c r="L597" i="3"/>
  <c r="AC598" i="3"/>
  <c r="P598" i="3"/>
  <c r="Q598" i="3" s="1"/>
  <c r="R598" i="3" s="1"/>
  <c r="S598" i="3" s="1"/>
  <c r="Z598" i="3"/>
  <c r="AA598" i="3"/>
  <c r="AD598" i="3"/>
  <c r="U597" i="3" l="1"/>
  <c r="Y596" i="3"/>
  <c r="T598" i="3"/>
  <c r="AG598" i="3" s="1"/>
  <c r="AH598" i="3" l="1"/>
  <c r="E598" i="3"/>
  <c r="H598" i="3" s="1"/>
  <c r="K598" i="3" s="1"/>
  <c r="AE598" i="3" s="1"/>
  <c r="D598" i="3"/>
  <c r="V598" i="3" l="1"/>
  <c r="A599" i="3"/>
  <c r="B599" i="3" s="1"/>
  <c r="F598" i="3"/>
  <c r="G598" i="3"/>
  <c r="I598" i="3" l="1"/>
  <c r="W598" i="3" s="1"/>
  <c r="J598" i="3"/>
  <c r="M598" i="3"/>
  <c r="N598" i="3" s="1"/>
  <c r="AC599" i="3"/>
  <c r="AA599" i="3"/>
  <c r="P599" i="3"/>
  <c r="Q599" i="3" s="1"/>
  <c r="R599" i="3" s="1"/>
  <c r="S599" i="3" s="1"/>
  <c r="AD599" i="3"/>
  <c r="Z599" i="3"/>
  <c r="T599" i="3" l="1"/>
  <c r="L598" i="3"/>
  <c r="U598" i="3" l="1"/>
  <c r="D599" i="3" s="1"/>
  <c r="AG599" i="3"/>
  <c r="AH599" i="3"/>
  <c r="Y597" i="3"/>
  <c r="G599" i="3" l="1"/>
  <c r="E599" i="3"/>
  <c r="H599" i="3" s="1"/>
  <c r="I599" i="3" l="1"/>
  <c r="J599" i="3"/>
  <c r="M599" i="3"/>
  <c r="N599" i="3" s="1"/>
  <c r="K599" i="3"/>
  <c r="AE599" i="3" s="1"/>
  <c r="F599" i="3"/>
  <c r="V599" i="3" l="1"/>
  <c r="W599" i="3" s="1"/>
  <c r="A600" i="3"/>
  <c r="B600" i="3" s="1"/>
  <c r="L599" i="3"/>
  <c r="U599" i="3" l="1"/>
  <c r="Y598" i="3"/>
  <c r="AC600" i="3"/>
  <c r="P600" i="3"/>
  <c r="Q600" i="3" s="1"/>
  <c r="R600" i="3" s="1"/>
  <c r="S600" i="3" s="1"/>
  <c r="Z600" i="3"/>
  <c r="AA600" i="3"/>
  <c r="AD600" i="3"/>
  <c r="T600" i="3" l="1"/>
  <c r="E600" i="3" s="1"/>
  <c r="H600" i="3" s="1"/>
  <c r="AH600" i="3" l="1"/>
  <c r="K600" i="3"/>
  <c r="AE600" i="3" s="1"/>
  <c r="AG600" i="3"/>
  <c r="D600" i="3"/>
  <c r="V600" i="3" l="1"/>
  <c r="A601" i="3"/>
  <c r="B601" i="3" s="1"/>
  <c r="F600" i="3"/>
  <c r="G600" i="3"/>
  <c r="I600" i="3" l="1"/>
  <c r="W600" i="3" s="1"/>
  <c r="J600" i="3"/>
  <c r="M600" i="3"/>
  <c r="N600" i="3" s="1"/>
  <c r="P601" i="3"/>
  <c r="Q601" i="3" s="1"/>
  <c r="R601" i="3" s="1"/>
  <c r="S601" i="3" s="1"/>
  <c r="AA601" i="3"/>
  <c r="AC601" i="3"/>
  <c r="Z601" i="3"/>
  <c r="AD601" i="3"/>
  <c r="T601" i="3" l="1"/>
  <c r="L600" i="3"/>
  <c r="AH601" i="3" l="1"/>
  <c r="U600" i="3"/>
  <c r="D601" i="3" s="1"/>
  <c r="AG601" i="3"/>
  <c r="Y599" i="3"/>
  <c r="E601" i="3" l="1"/>
  <c r="H601" i="3" s="1"/>
  <c r="K601" i="3" s="1"/>
  <c r="AE601" i="3" s="1"/>
  <c r="G601" i="3"/>
  <c r="F601" i="3" l="1"/>
  <c r="I601" i="3"/>
  <c r="J601" i="3"/>
  <c r="M601" i="3"/>
  <c r="N601" i="3" s="1"/>
  <c r="V601" i="3"/>
  <c r="A602" i="3"/>
  <c r="B602" i="3" s="1"/>
  <c r="W601" i="3" l="1"/>
  <c r="L601" i="3"/>
  <c r="P602" i="3"/>
  <c r="Q602" i="3" s="1"/>
  <c r="R602" i="3" s="1"/>
  <c r="S602" i="3" s="1"/>
  <c r="Z602" i="3"/>
  <c r="AC602" i="3"/>
  <c r="AD602" i="3"/>
  <c r="AA602" i="3"/>
  <c r="U601" i="3" l="1"/>
  <c r="Y600" i="3"/>
  <c r="T602" i="3"/>
  <c r="AG602" i="3" s="1"/>
  <c r="D602" i="3" l="1"/>
  <c r="E602" i="3"/>
  <c r="H602" i="3" s="1"/>
  <c r="AH602" i="3"/>
  <c r="K602" i="3" l="1"/>
  <c r="AE602" i="3" s="1"/>
  <c r="F602" i="3"/>
  <c r="G602" i="3"/>
  <c r="I602" i="3" l="1"/>
  <c r="J602" i="3"/>
  <c r="M602" i="3"/>
  <c r="N602" i="3" s="1"/>
  <c r="V602" i="3"/>
  <c r="A603" i="3"/>
  <c r="B603" i="3" s="1"/>
  <c r="W602" i="3" l="1"/>
  <c r="L602" i="3"/>
  <c r="AA603" i="3"/>
  <c r="AC603" i="3"/>
  <c r="AD603" i="3"/>
  <c r="Z603" i="3"/>
  <c r="P603" i="3"/>
  <c r="Q603" i="3" s="1"/>
  <c r="R603" i="3" s="1"/>
  <c r="S603" i="3" s="1"/>
  <c r="U602" i="3" l="1"/>
  <c r="Y601" i="3"/>
  <c r="T603" i="3"/>
  <c r="AG603" i="3" s="1"/>
  <c r="AH603" i="3" l="1"/>
  <c r="D603" i="3"/>
  <c r="G603" i="3" s="1"/>
  <c r="E603" i="3"/>
  <c r="H603" i="3" s="1"/>
  <c r="K603" i="3" s="1"/>
  <c r="AE603" i="3" s="1"/>
  <c r="F603" i="3" l="1"/>
  <c r="I603" i="3"/>
  <c r="J603" i="3"/>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D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M607" i="3"/>
  <c r="N607" i="3" s="1"/>
  <c r="AD608" i="3"/>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AD617" i="3"/>
  <c r="P617" i="3"/>
  <c r="Q617" i="3" s="1"/>
  <c r="R617" i="3" s="1"/>
  <c r="S617" i="3" s="1"/>
  <c r="AA617" i="3"/>
  <c r="U616" i="3" l="1"/>
  <c r="Y615" i="3"/>
  <c r="T617" i="3"/>
  <c r="AG617" i="3" s="1"/>
  <c r="D617" i="3" l="1"/>
  <c r="G617" i="3" s="1"/>
  <c r="E617" i="3"/>
  <c r="H617" i="3" s="1"/>
  <c r="K617" i="3" s="1"/>
  <c r="AE617" i="3" s="1"/>
  <c r="AH617" i="3"/>
  <c r="F617" i="3" l="1"/>
  <c r="I617" i="3"/>
  <c r="J617" i="3"/>
  <c r="M617" i="3"/>
  <c r="N617" i="3" s="1"/>
  <c r="V617" i="3"/>
  <c r="A618" i="3"/>
  <c r="B618" i="3" s="1"/>
  <c r="W617" i="3" l="1"/>
  <c r="L617" i="3"/>
  <c r="P618" i="3"/>
  <c r="Q618" i="3" s="1"/>
  <c r="R618" i="3" s="1"/>
  <c r="S618" i="3" s="1"/>
  <c r="AD618" i="3"/>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AD627" i="3"/>
  <c r="P627" i="3"/>
  <c r="Q627" i="3" s="1"/>
  <c r="R627" i="3" s="1"/>
  <c r="S627" i="3" s="1"/>
  <c r="AC627" i="3"/>
  <c r="AA627" i="3"/>
  <c r="L626" i="3" l="1"/>
  <c r="T627" i="3"/>
  <c r="AG627" i="3" l="1"/>
  <c r="U626" i="3"/>
  <c r="D627" i="3" s="1"/>
  <c r="AH627" i="3"/>
  <c r="Y625" i="3"/>
  <c r="G627" i="3" l="1"/>
  <c r="E627" i="3"/>
  <c r="H627" i="3" s="1"/>
  <c r="K627" i="3" l="1"/>
  <c r="AE627" i="3" s="1"/>
  <c r="I627" i="3"/>
  <c r="J627" i="3"/>
  <c r="M627" i="3"/>
  <c r="N627" i="3" s="1"/>
  <c r="F627" i="3"/>
  <c r="L627" i="3" l="1"/>
  <c r="V627" i="3"/>
  <c r="W627" i="3" s="1"/>
  <c r="A628" i="3"/>
  <c r="B628" i="3" s="1"/>
  <c r="Z628" i="3" l="1"/>
  <c r="AA628" i="3"/>
  <c r="P628" i="3"/>
  <c r="Q628" i="3" s="1"/>
  <c r="R628" i="3" s="1"/>
  <c r="S628" i="3" s="1"/>
  <c r="AC628" i="3"/>
  <c r="AD628" i="3"/>
  <c r="U627" i="3"/>
  <c r="Y626" i="3"/>
  <c r="T628" i="3" l="1"/>
  <c r="D628" i="3" l="1"/>
  <c r="E628" i="3"/>
  <c r="H628" i="3" s="1"/>
  <c r="AG628" i="3"/>
  <c r="AH628" i="3"/>
  <c r="F628" i="3" l="1"/>
  <c r="G628" i="3"/>
  <c r="K628" i="3"/>
  <c r="AE628" i="3" s="1"/>
  <c r="I628" i="3" l="1"/>
  <c r="J628" i="3"/>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D637" i="3"/>
  <c r="AA637" i="3"/>
  <c r="U636" i="3" l="1"/>
  <c r="Y635" i="3"/>
  <c r="T637" i="3"/>
  <c r="AG637" i="3" s="1"/>
  <c r="D637" i="3" l="1"/>
  <c r="AH637" i="3"/>
  <c r="E637" i="3"/>
  <c r="H637" i="3" s="1"/>
  <c r="F637" i="3" l="1"/>
  <c r="G637" i="3"/>
  <c r="K637" i="3"/>
  <c r="AE637" i="3" s="1"/>
  <c r="I637" i="3" l="1"/>
  <c r="J637" i="3"/>
  <c r="M637" i="3"/>
  <c r="N637" i="3" s="1"/>
  <c r="V637" i="3"/>
  <c r="A638" i="3"/>
  <c r="B638" i="3" s="1"/>
  <c r="W637" i="3" l="1"/>
  <c r="L637" i="3"/>
  <c r="P638" i="3"/>
  <c r="Q638" i="3" s="1"/>
  <c r="R638" i="3" s="1"/>
  <c r="S638" i="3" s="1"/>
  <c r="AD638" i="3"/>
  <c r="AC638" i="3"/>
  <c r="AA638" i="3"/>
  <c r="Z638" i="3"/>
  <c r="T638" i="3" l="1"/>
  <c r="AG638" i="3" s="1"/>
  <c r="U637" i="3"/>
  <c r="Y636" i="3"/>
  <c r="D638" i="3" l="1"/>
  <c r="G638" i="3" s="1"/>
  <c r="E638" i="3"/>
  <c r="H638" i="3" s="1"/>
  <c r="AH638" i="3"/>
  <c r="F638" i="3" l="1"/>
  <c r="I638" i="3"/>
  <c r="J638" i="3"/>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AD647" i="3"/>
  <c r="Z647" i="3"/>
  <c r="U646" i="3" l="1"/>
  <c r="Y645" i="3"/>
  <c r="T647" i="3"/>
  <c r="AG647" i="3" s="1"/>
  <c r="E647" i="3" l="1"/>
  <c r="H647" i="3" s="1"/>
  <c r="D647" i="3"/>
  <c r="AH647" i="3"/>
  <c r="F647" i="3" l="1"/>
  <c r="G647" i="3"/>
  <c r="K647" i="3"/>
  <c r="AE647" i="3" s="1"/>
  <c r="V647" i="3" l="1"/>
  <c r="A648" i="3"/>
  <c r="B648" i="3" s="1"/>
  <c r="I647" i="3"/>
  <c r="J647" i="3"/>
  <c r="M647" i="3"/>
  <c r="N647" i="3" s="1"/>
  <c r="W647" i="3" l="1"/>
  <c r="L647" i="3"/>
  <c r="AC648" i="3"/>
  <c r="AA648" i="3"/>
  <c r="P648" i="3"/>
  <c r="Q648" i="3" s="1"/>
  <c r="R648" i="3" s="1"/>
  <c r="S648" i="3" s="1"/>
  <c r="Z648" i="3"/>
  <c r="AD648" i="3"/>
  <c r="T648" i="3" l="1"/>
  <c r="AH648" i="3" s="1"/>
  <c r="U647" i="3"/>
  <c r="Y646" i="3"/>
  <c r="D648" i="3" l="1"/>
  <c r="AG648" i="3"/>
  <c r="E648" i="3"/>
  <c r="H648" i="3" s="1"/>
  <c r="F648" i="3" l="1"/>
  <c r="G648" i="3"/>
  <c r="K648" i="3"/>
  <c r="AE648" i="3" s="1"/>
  <c r="I648" i="3" l="1"/>
  <c r="J648" i="3"/>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AD657" i="3"/>
  <c r="P657" i="3"/>
  <c r="Q657" i="3" s="1"/>
  <c r="R657" i="3" s="1"/>
  <c r="S657" i="3" s="1"/>
  <c r="AA657" i="3"/>
  <c r="Z657" i="3"/>
  <c r="L656" i="3" l="1"/>
  <c r="T657" i="3"/>
  <c r="AH657" i="3" l="1"/>
  <c r="U656" i="3"/>
  <c r="E657" i="3" s="1"/>
  <c r="H657" i="3" s="1"/>
  <c r="AG657" i="3"/>
  <c r="Y655" i="3"/>
  <c r="D657" i="3" l="1"/>
  <c r="G657" i="3" s="1"/>
  <c r="K657" i="3"/>
  <c r="AE657" i="3" s="1"/>
  <c r="F657" i="3" l="1"/>
  <c r="I657" i="3"/>
  <c r="J657" i="3"/>
  <c r="M657" i="3"/>
  <c r="N657" i="3" s="1"/>
  <c r="V657" i="3"/>
  <c r="A658" i="3"/>
  <c r="B658" i="3" s="1"/>
  <c r="W657" i="3" l="1"/>
  <c r="L657" i="3"/>
  <c r="AC658" i="3"/>
  <c r="Z658" i="3"/>
  <c r="AD658" i="3"/>
  <c r="AA658" i="3"/>
  <c r="P658" i="3"/>
  <c r="Q658" i="3" s="1"/>
  <c r="R658" i="3" s="1"/>
  <c r="S658" i="3" s="1"/>
  <c r="U657" i="3" l="1"/>
  <c r="Y656" i="3"/>
  <c r="T658" i="3"/>
  <c r="AG658" i="3" s="1"/>
  <c r="E658" i="3" l="1"/>
  <c r="H658" i="3" s="1"/>
  <c r="D658" i="3"/>
  <c r="AH658" i="3"/>
  <c r="K658" i="3" l="1"/>
  <c r="AE658" i="3" s="1"/>
  <c r="F658" i="3"/>
  <c r="G658" i="3"/>
  <c r="I658" i="3" l="1"/>
  <c r="J658" i="3"/>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D667" i="3"/>
  <c r="AA667" i="3"/>
  <c r="U666" i="3" l="1"/>
  <c r="Y665" i="3"/>
  <c r="T667" i="3"/>
  <c r="AG667" i="3" s="1"/>
  <c r="D667" i="3" l="1"/>
  <c r="E667" i="3"/>
  <c r="H667" i="3" s="1"/>
  <c r="AH667" i="3"/>
  <c r="F667" i="3" l="1"/>
  <c r="G667" i="3"/>
  <c r="K667" i="3"/>
  <c r="AE667" i="3" s="1"/>
  <c r="I667" i="3" l="1"/>
  <c r="J667" i="3"/>
  <c r="M667" i="3"/>
  <c r="N667" i="3" s="1"/>
  <c r="V667" i="3"/>
  <c r="A668" i="3"/>
  <c r="B668" i="3" s="1"/>
  <c r="W667" i="3" l="1"/>
  <c r="L667" i="3"/>
  <c r="Z668" i="3"/>
  <c r="P668" i="3"/>
  <c r="Q668" i="3" s="1"/>
  <c r="R668" i="3" s="1"/>
  <c r="S668" i="3" s="1"/>
  <c r="AD668" i="3"/>
  <c r="AC668" i="3"/>
  <c r="AA668" i="3"/>
  <c r="T668" i="3" l="1"/>
  <c r="AH668" i="3" s="1"/>
  <c r="U667" i="3"/>
  <c r="Y666" i="3"/>
  <c r="D668" i="3" l="1"/>
  <c r="G668" i="3" s="1"/>
  <c r="AG668" i="3"/>
  <c r="E668" i="3"/>
  <c r="H668" i="3" s="1"/>
  <c r="F668" i="3" l="1"/>
  <c r="I668" i="3"/>
  <c r="J668" i="3"/>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D675" i="3"/>
  <c r="AA675" i="3"/>
  <c r="AC675" i="3"/>
  <c r="Z675" i="3"/>
  <c r="U674" i="3" l="1"/>
  <c r="Y673" i="3"/>
  <c r="T675" i="3"/>
  <c r="AH675" i="3" s="1"/>
  <c r="AG675" i="3" l="1"/>
  <c r="D675" i="3"/>
  <c r="E675" i="3"/>
  <c r="H675" i="3" s="1"/>
  <c r="F675" i="3" l="1"/>
  <c r="G675" i="3"/>
  <c r="K675" i="3"/>
  <c r="AE675" i="3" s="1"/>
  <c r="I675" i="3" l="1"/>
  <c r="J675" i="3"/>
  <c r="M675" i="3"/>
  <c r="N675" i="3" s="1"/>
  <c r="V675" i="3"/>
  <c r="A676" i="3"/>
  <c r="B676" i="3" s="1"/>
  <c r="W675" i="3" l="1"/>
  <c r="L675" i="3"/>
  <c r="AD676" i="3"/>
  <c r="AC676" i="3"/>
  <c r="P676" i="3"/>
  <c r="Q676" i="3" s="1"/>
  <c r="R676" i="3" s="1"/>
  <c r="S676" i="3" s="1"/>
  <c r="Z676" i="3"/>
  <c r="AA676" i="3"/>
  <c r="T676" i="3" l="1"/>
  <c r="U675" i="3"/>
  <c r="Y674" i="3"/>
  <c r="E676" i="3" l="1"/>
  <c r="H676" i="3" s="1"/>
  <c r="K676" i="3" s="1"/>
  <c r="AE676" i="3" s="1"/>
  <c r="AH676" i="3"/>
  <c r="D676" i="3"/>
  <c r="G676" i="3" s="1"/>
  <c r="AG676" i="3"/>
  <c r="F676" i="3" l="1"/>
  <c r="I676" i="3"/>
  <c r="J676" i="3"/>
  <c r="M676" i="3"/>
  <c r="N676" i="3" s="1"/>
  <c r="V676" i="3"/>
  <c r="A677" i="3"/>
  <c r="B677" i="3" s="1"/>
  <c r="W676" i="3" l="1"/>
  <c r="L676" i="3"/>
  <c r="AA677" i="3"/>
  <c r="AC677" i="3"/>
  <c r="Z677" i="3"/>
  <c r="AD677" i="3"/>
  <c r="P677" i="3"/>
  <c r="Q677" i="3" s="1"/>
  <c r="R677" i="3" s="1"/>
  <c r="S677" i="3" s="1"/>
  <c r="U676" i="3" l="1"/>
  <c r="Y675" i="3"/>
  <c r="T677" i="3"/>
  <c r="AG677" i="3" s="1"/>
  <c r="D677" i="3" l="1"/>
  <c r="G677" i="3" s="1"/>
  <c r="AH677" i="3"/>
  <c r="E677" i="3"/>
  <c r="H677" i="3" s="1"/>
  <c r="F677" i="3" l="1"/>
  <c r="I677" i="3"/>
  <c r="J677" i="3"/>
  <c r="M677" i="3"/>
  <c r="N677" i="3" s="1"/>
  <c r="K677" i="3"/>
  <c r="AE677" i="3" s="1"/>
  <c r="V677" i="3" l="1"/>
  <c r="W677" i="3" s="1"/>
  <c r="A678" i="3"/>
  <c r="B678" i="3" s="1"/>
  <c r="L677" i="3"/>
  <c r="U677" i="3" l="1"/>
  <c r="Y676" i="3"/>
  <c r="AD678" i="3"/>
  <c r="P678" i="3"/>
  <c r="Q678" i="3" s="1"/>
  <c r="R678" i="3" s="1"/>
  <c r="S678" i="3" s="1"/>
  <c r="Z678" i="3"/>
  <c r="AC678" i="3"/>
  <c r="AA678" i="3"/>
  <c r="T678" i="3" l="1"/>
  <c r="AH678" i="3" s="1"/>
  <c r="E678" i="3" l="1"/>
  <c r="H678" i="3" s="1"/>
  <c r="K678" i="3" s="1"/>
  <c r="AE678" i="3" s="1"/>
  <c r="D678" i="3"/>
  <c r="AG678" i="3"/>
  <c r="F678" i="3" l="1"/>
  <c r="G678" i="3"/>
  <c r="J678" i="3" s="1"/>
  <c r="V678" i="3"/>
  <c r="A679" i="3"/>
  <c r="B679" i="3" s="1"/>
  <c r="M678" i="3" l="1"/>
  <c r="N678" i="3" s="1"/>
  <c r="I678" i="3"/>
  <c r="W678" i="3" s="1"/>
  <c r="L678" i="3"/>
  <c r="P679" i="3"/>
  <c r="Q679" i="3" s="1"/>
  <c r="R679" i="3" s="1"/>
  <c r="S679" i="3" s="1"/>
  <c r="AA679" i="3"/>
  <c r="Z679" i="3"/>
  <c r="AD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AD680" i="3"/>
  <c r="I679" i="3"/>
  <c r="W679" i="3" s="1"/>
  <c r="J679" i="3"/>
  <c r="M679" i="3"/>
  <c r="N679" i="3" s="1"/>
  <c r="L679" i="3" l="1"/>
  <c r="T680" i="3"/>
  <c r="AH680" i="3" l="1"/>
  <c r="U679" i="3"/>
  <c r="E680" i="3" s="1"/>
  <c r="H680" i="3" s="1"/>
  <c r="AG680" i="3"/>
  <c r="Y678" i="3"/>
  <c r="D680" i="3" l="1"/>
  <c r="G680" i="3" s="1"/>
  <c r="K680" i="3"/>
  <c r="AE680" i="3" s="1"/>
  <c r="F680" i="3" l="1"/>
  <c r="I680" i="3"/>
  <c r="J680" i="3"/>
  <c r="M680" i="3"/>
  <c r="N680" i="3" s="1"/>
  <c r="V680" i="3"/>
  <c r="A681" i="3"/>
  <c r="B681" i="3" s="1"/>
  <c r="W680" i="3" l="1"/>
  <c r="L680" i="3"/>
  <c r="AD681"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AD682" i="3" l="1"/>
  <c r="Z682" i="3"/>
  <c r="P682" i="3"/>
  <c r="Q682" i="3" s="1"/>
  <c r="R682" i="3" s="1"/>
  <c r="S682" i="3" s="1"/>
  <c r="AC682" i="3"/>
  <c r="AA682" i="3"/>
  <c r="I681" i="3"/>
  <c r="W681" i="3" s="1"/>
  <c r="J681" i="3"/>
  <c r="M681" i="3"/>
  <c r="N681" i="3" s="1"/>
  <c r="L681" i="3" l="1"/>
  <c r="T682" i="3"/>
  <c r="U681" i="3" l="1"/>
  <c r="E682" i="3" s="1"/>
  <c r="H682" i="3" s="1"/>
  <c r="AG682" i="3"/>
  <c r="AH682" i="3"/>
  <c r="Y680" i="3"/>
  <c r="D682" i="3" l="1"/>
  <c r="G682" i="3" s="1"/>
  <c r="K682" i="3"/>
  <c r="AE682" i="3" s="1"/>
  <c r="F682" i="3" l="1"/>
  <c r="V682" i="3"/>
  <c r="A683" i="3"/>
  <c r="B683" i="3" s="1"/>
  <c r="I682" i="3"/>
  <c r="J682" i="3"/>
  <c r="M682" i="3"/>
  <c r="N682" i="3" s="1"/>
  <c r="W682" i="3" l="1"/>
  <c r="L682" i="3"/>
  <c r="P683" i="3"/>
  <c r="Q683" i="3" s="1"/>
  <c r="R683" i="3" s="1"/>
  <c r="S683" i="3" s="1"/>
  <c r="AC683" i="3"/>
  <c r="AD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D687" i="3"/>
  <c r="AA687" i="3"/>
  <c r="AC687" i="3"/>
  <c r="U686" i="3" l="1"/>
  <c r="Y685" i="3"/>
  <c r="T687" i="3"/>
  <c r="AG687" i="3" s="1"/>
  <c r="AH687" i="3" l="1"/>
  <c r="D687" i="3"/>
  <c r="G687" i="3" s="1"/>
  <c r="E687" i="3"/>
  <c r="H687" i="3" s="1"/>
  <c r="K687" i="3" s="1"/>
  <c r="AE687" i="3" s="1"/>
  <c r="F687" i="3" l="1"/>
  <c r="I687" i="3"/>
  <c r="J687" i="3"/>
  <c r="M687" i="3"/>
  <c r="N687" i="3" s="1"/>
  <c r="V687" i="3"/>
  <c r="A688" i="3"/>
  <c r="B688" i="3" s="1"/>
  <c r="W687" i="3" l="1"/>
  <c r="L687" i="3"/>
  <c r="AC688" i="3"/>
  <c r="AA688" i="3"/>
  <c r="AD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AD695"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M695" i="3"/>
  <c r="N695" i="3" s="1"/>
  <c r="AD696" i="3"/>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M696" i="3"/>
  <c r="N696" i="3" s="1"/>
  <c r="W696" i="3" l="1"/>
  <c r="AD697" i="3"/>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L697" i="3" s="1"/>
  <c r="AD698" i="3"/>
  <c r="AA698" i="3"/>
  <c r="Z698" i="3"/>
  <c r="AC698" i="3"/>
  <c r="P698" i="3"/>
  <c r="Q698" i="3" s="1"/>
  <c r="R698" i="3" s="1"/>
  <c r="S698" i="3" s="1"/>
  <c r="U697" i="3" l="1"/>
  <c r="Y696" i="3"/>
  <c r="T698" i="3"/>
  <c r="AG698" i="3" s="1"/>
  <c r="E698" i="3" l="1"/>
  <c r="H698" i="3" s="1"/>
  <c r="K698" i="3" s="1"/>
  <c r="AE698" i="3" s="1"/>
  <c r="AH698" i="3"/>
  <c r="D698" i="3"/>
  <c r="F698" i="3" l="1"/>
  <c r="G698" i="3"/>
  <c r="J698" i="3" s="1"/>
  <c r="V698" i="3"/>
  <c r="A699" i="3"/>
  <c r="B699" i="3" s="1"/>
  <c r="M698" i="3" l="1"/>
  <c r="N698" i="3" s="1"/>
  <c r="I698" i="3"/>
  <c r="W698" i="3" s="1"/>
  <c r="L698" i="3"/>
  <c r="Z699" i="3"/>
  <c r="P699" i="3"/>
  <c r="Q699" i="3" s="1"/>
  <c r="R699" i="3" s="1"/>
  <c r="S699" i="3" s="1"/>
  <c r="AA699" i="3"/>
  <c r="AD699" i="3"/>
  <c r="AC699" i="3"/>
  <c r="T699" i="3" l="1"/>
  <c r="U698" i="3"/>
  <c r="Y697" i="3"/>
  <c r="D699" i="3" l="1"/>
  <c r="G699" i="3" s="1"/>
  <c r="AG699" i="3"/>
  <c r="AH699" i="3"/>
  <c r="E699" i="3"/>
  <c r="H699" i="3" s="1"/>
  <c r="K699" i="3" l="1"/>
  <c r="AE699" i="3" s="1"/>
  <c r="I699" i="3"/>
  <c r="J699" i="3"/>
  <c r="M699" i="3"/>
  <c r="N699" i="3" s="1"/>
  <c r="F699" i="3"/>
  <c r="L699" i="3" l="1"/>
  <c r="V699" i="3"/>
  <c r="W699" i="3" s="1"/>
  <c r="A700" i="3"/>
  <c r="B700" i="3" s="1"/>
  <c r="U699" i="3" l="1"/>
  <c r="Y698" i="3"/>
  <c r="Z700" i="3"/>
  <c r="P700" i="3"/>
  <c r="Q700" i="3" s="1"/>
  <c r="R700" i="3" s="1"/>
  <c r="S700" i="3" s="1"/>
  <c r="AD700" i="3"/>
  <c r="AC700" i="3"/>
  <c r="AA700" i="3"/>
  <c r="T700" i="3" l="1"/>
  <c r="D700" i="3" s="1"/>
  <c r="AH700" i="3" l="1"/>
  <c r="AG700" i="3"/>
  <c r="E700" i="3"/>
  <c r="H700" i="3" s="1"/>
  <c r="K700" i="3" s="1"/>
  <c r="AE700" i="3" s="1"/>
  <c r="G700" i="3"/>
  <c r="F700" i="3" l="1"/>
  <c r="I700" i="3"/>
  <c r="J700" i="3"/>
  <c r="M700" i="3"/>
  <c r="N700" i="3" s="1"/>
  <c r="V700" i="3"/>
  <c r="A701" i="3"/>
  <c r="B701" i="3" s="1"/>
  <c r="W700" i="3" l="1"/>
  <c r="L700" i="3"/>
  <c r="AC701" i="3"/>
  <c r="AA701" i="3"/>
  <c r="Z701" i="3"/>
  <c r="P701" i="3"/>
  <c r="Q701" i="3" s="1"/>
  <c r="R701" i="3" s="1"/>
  <c r="S701" i="3" s="1"/>
  <c r="AD701" i="3"/>
  <c r="U700" i="3" l="1"/>
  <c r="Y699" i="3"/>
  <c r="T701" i="3"/>
  <c r="AG701" i="3" s="1"/>
  <c r="AH701" i="3" l="1"/>
  <c r="E701" i="3"/>
  <c r="H701" i="3" s="1"/>
  <c r="D701" i="3"/>
  <c r="F701" i="3" l="1"/>
  <c r="G701" i="3"/>
  <c r="K701" i="3"/>
  <c r="AE701" i="3" s="1"/>
  <c r="I701" i="3" l="1"/>
  <c r="J701" i="3"/>
  <c r="M701" i="3"/>
  <c r="N701" i="3" s="1"/>
  <c r="V701" i="3"/>
  <c r="A702" i="3"/>
  <c r="B702" i="3" s="1"/>
  <c r="W701" i="3" l="1"/>
  <c r="L701" i="3"/>
  <c r="AC702" i="3"/>
  <c r="AD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M702" i="3"/>
  <c r="N702" i="3" s="1"/>
  <c r="W702" i="3" l="1"/>
  <c r="L702" i="3"/>
  <c r="AC703" i="3"/>
  <c r="AD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AD707" i="3"/>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M707" i="3"/>
  <c r="N707" i="3" s="1"/>
  <c r="AD708" i="3"/>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AD717" i="3"/>
  <c r="Z717" i="3"/>
  <c r="AA717" i="3"/>
  <c r="U716" i="3" l="1"/>
  <c r="Y715" i="3"/>
  <c r="T717" i="3"/>
  <c r="AG717" i="3" s="1"/>
  <c r="E717" i="3" l="1"/>
  <c r="H717" i="3" s="1"/>
  <c r="K717" i="3" s="1"/>
  <c r="AE717" i="3" s="1"/>
  <c r="AH717" i="3"/>
  <c r="D717" i="3"/>
  <c r="V717" i="3" l="1"/>
  <c r="A718" i="3"/>
  <c r="B718" i="3" s="1"/>
  <c r="F717" i="3"/>
  <c r="G717" i="3"/>
  <c r="I717" i="3" l="1"/>
  <c r="W717" i="3" s="1"/>
  <c r="J717" i="3"/>
  <c r="M717" i="3"/>
  <c r="N717" i="3" s="1"/>
  <c r="P718" i="3"/>
  <c r="Q718" i="3" s="1"/>
  <c r="R718" i="3" s="1"/>
  <c r="S718" i="3" s="1"/>
  <c r="AC718" i="3"/>
  <c r="Z718" i="3"/>
  <c r="AD718" i="3"/>
  <c r="AA718" i="3"/>
  <c r="L717" i="3" l="1"/>
  <c r="T718" i="3"/>
  <c r="U717" i="3" l="1"/>
  <c r="E718" i="3" s="1"/>
  <c r="H718" i="3" s="1"/>
  <c r="AH718" i="3"/>
  <c r="AG718" i="3"/>
  <c r="Y716" i="3"/>
  <c r="K718" i="3" l="1"/>
  <c r="AE718" i="3" s="1"/>
  <c r="D718" i="3"/>
  <c r="V718" i="3" l="1"/>
  <c r="A719" i="3"/>
  <c r="B719" i="3" s="1"/>
  <c r="F718" i="3"/>
  <c r="G718" i="3"/>
  <c r="I718" i="3" l="1"/>
  <c r="W718" i="3" s="1"/>
  <c r="J718" i="3"/>
  <c r="M718" i="3"/>
  <c r="N718" i="3" s="1"/>
  <c r="AD719" i="3"/>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M719" i="3"/>
  <c r="N719" i="3" s="1"/>
  <c r="V719" i="3"/>
  <c r="A720" i="3"/>
  <c r="B720" i="3" s="1"/>
  <c r="W719" i="3" l="1"/>
  <c r="L719" i="3"/>
  <c r="P720" i="3"/>
  <c r="Q720" i="3" s="1"/>
  <c r="R720" i="3" s="1"/>
  <c r="S720" i="3" s="1"/>
  <c r="AA720" i="3"/>
  <c r="AC720" i="3"/>
  <c r="Z720" i="3"/>
  <c r="AD720" i="3"/>
  <c r="U719" i="3" l="1"/>
  <c r="Y718" i="3"/>
  <c r="T720" i="3"/>
  <c r="AG720" i="3" s="1"/>
  <c r="E720" i="3" l="1"/>
  <c r="H720" i="3" s="1"/>
  <c r="K720" i="3" s="1"/>
  <c r="AE720" i="3" s="1"/>
  <c r="D720" i="3"/>
  <c r="AH720" i="3"/>
  <c r="V720" i="3" l="1"/>
  <c r="A721" i="3"/>
  <c r="B721" i="3" s="1"/>
  <c r="F720" i="3"/>
  <c r="G720" i="3"/>
  <c r="I720" i="3" l="1"/>
  <c r="W720" i="3" s="1"/>
  <c r="J720" i="3"/>
  <c r="M720" i="3"/>
  <c r="N720" i="3" s="1"/>
  <c r="AD721" i="3"/>
  <c r="AA721" i="3"/>
  <c r="Z721" i="3"/>
  <c r="AC721" i="3"/>
  <c r="P721" i="3"/>
  <c r="Q721" i="3" s="1"/>
  <c r="R721" i="3" s="1"/>
  <c r="S721" i="3" s="1"/>
  <c r="T721" i="3" l="1"/>
  <c r="L720" i="3"/>
  <c r="AG721" i="3" l="1"/>
  <c r="U720" i="3"/>
  <c r="D721" i="3" s="1"/>
  <c r="AH721" i="3"/>
  <c r="Y719" i="3"/>
  <c r="G721" i="3" l="1"/>
  <c r="E721" i="3"/>
  <c r="H721" i="3" s="1"/>
  <c r="F721" i="3" l="1"/>
  <c r="I721" i="3"/>
  <c r="J721" i="3"/>
  <c r="M721" i="3"/>
  <c r="N721" i="3" s="1"/>
  <c r="K721" i="3"/>
  <c r="AE721" i="3" s="1"/>
  <c r="V721" i="3" l="1"/>
  <c r="W721" i="3" s="1"/>
  <c r="A722" i="3"/>
  <c r="B722" i="3" s="1"/>
  <c r="L721" i="3"/>
  <c r="U721" i="3" l="1"/>
  <c r="Y720" i="3"/>
  <c r="AA722" i="3"/>
  <c r="AC722" i="3"/>
  <c r="P722" i="3"/>
  <c r="Q722" i="3" s="1"/>
  <c r="R722" i="3" s="1"/>
  <c r="S722" i="3" s="1"/>
  <c r="Z722" i="3"/>
  <c r="AD722" i="3"/>
  <c r="T722" i="3" l="1"/>
  <c r="AH722" i="3" s="1"/>
  <c r="E722" i="3" l="1"/>
  <c r="H722" i="3" s="1"/>
  <c r="K722" i="3" s="1"/>
  <c r="AE722" i="3" s="1"/>
  <c r="D722" i="3"/>
  <c r="AG722" i="3"/>
  <c r="V722" i="3" l="1"/>
  <c r="A723" i="3"/>
  <c r="B723" i="3" s="1"/>
  <c r="F722" i="3"/>
  <c r="G722" i="3"/>
  <c r="I722" i="3" l="1"/>
  <c r="W722" i="3" s="1"/>
  <c r="J722" i="3"/>
  <c r="M722" i="3"/>
  <c r="N722" i="3" s="1"/>
  <c r="Z723" i="3"/>
  <c r="AA723" i="3"/>
  <c r="AC723" i="3"/>
  <c r="P723" i="3"/>
  <c r="Q723" i="3" s="1"/>
  <c r="R723" i="3" s="1"/>
  <c r="S723" i="3" s="1"/>
  <c r="AD723" i="3"/>
  <c r="T723" i="3" l="1"/>
  <c r="L722" i="3"/>
  <c r="U722" i="3" l="1"/>
  <c r="E723" i="3" s="1"/>
  <c r="H723" i="3" s="1"/>
  <c r="AG723" i="3"/>
  <c r="AH723" i="3"/>
  <c r="Y721" i="3"/>
  <c r="D723" i="3" l="1"/>
  <c r="G723" i="3" s="1"/>
  <c r="K723" i="3"/>
  <c r="AE723" i="3" s="1"/>
  <c r="F723" i="3" l="1"/>
  <c r="V723" i="3"/>
  <c r="A724" i="3"/>
  <c r="B724" i="3" s="1"/>
  <c r="I723" i="3"/>
  <c r="J723" i="3"/>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AD725" i="3"/>
  <c r="U724" i="3" l="1"/>
  <c r="Y723" i="3"/>
  <c r="T725" i="3"/>
  <c r="AG725" i="3" s="1"/>
  <c r="AH725" i="3" l="1"/>
  <c r="D725" i="3"/>
  <c r="G725" i="3" s="1"/>
  <c r="E725" i="3"/>
  <c r="H725" i="3" s="1"/>
  <c r="F725" i="3" l="1"/>
  <c r="I725" i="3"/>
  <c r="J725" i="3"/>
  <c r="M725" i="3"/>
  <c r="N725" i="3" s="1"/>
  <c r="K725" i="3"/>
  <c r="AE725" i="3" s="1"/>
  <c r="V725" i="3" l="1"/>
  <c r="W725" i="3" s="1"/>
  <c r="A726" i="3"/>
  <c r="B726" i="3" s="1"/>
  <c r="L725" i="3"/>
  <c r="U725" i="3" l="1"/>
  <c r="Y724" i="3"/>
  <c r="Z726" i="3"/>
  <c r="P726" i="3"/>
  <c r="Q726" i="3" s="1"/>
  <c r="R726" i="3" s="1"/>
  <c r="S726" i="3" s="1"/>
  <c r="AA726" i="3"/>
  <c r="AD726" i="3"/>
  <c r="AC726" i="3"/>
  <c r="T726" i="3" l="1"/>
  <c r="AG726" i="3" s="1"/>
  <c r="D726" i="3" l="1"/>
  <c r="G726" i="3" s="1"/>
  <c r="E726" i="3"/>
  <c r="H726" i="3" s="1"/>
  <c r="K726" i="3" s="1"/>
  <c r="AE726" i="3" s="1"/>
  <c r="AH726" i="3"/>
  <c r="F726" i="3" l="1"/>
  <c r="I726" i="3"/>
  <c r="J726" i="3"/>
  <c r="M726" i="3"/>
  <c r="N726" i="3" s="1"/>
  <c r="V726" i="3"/>
  <c r="A727" i="3"/>
  <c r="B727" i="3" s="1"/>
  <c r="W726" i="3" l="1"/>
  <c r="L726" i="3"/>
  <c r="P727" i="3"/>
  <c r="Q727" i="3" s="1"/>
  <c r="R727" i="3" s="1"/>
  <c r="S727" i="3" s="1"/>
  <c r="Z727" i="3"/>
  <c r="AA727" i="3"/>
  <c r="AC727" i="3"/>
  <c r="AD727" i="3"/>
  <c r="U726" i="3" l="1"/>
  <c r="Y725" i="3"/>
  <c r="T727" i="3"/>
  <c r="AH727" i="3" s="1"/>
  <c r="E727" i="3" l="1"/>
  <c r="H727" i="3" s="1"/>
  <c r="K727" i="3" s="1"/>
  <c r="AE727" i="3" s="1"/>
  <c r="D727" i="3"/>
  <c r="AG727" i="3"/>
  <c r="F727" i="3" l="1"/>
  <c r="G727" i="3"/>
  <c r="M727" i="3" s="1"/>
  <c r="N727" i="3" s="1"/>
  <c r="V727" i="3"/>
  <c r="A728" i="3"/>
  <c r="B728" i="3" s="1"/>
  <c r="I727" i="3" l="1"/>
  <c r="W727" i="3" s="1"/>
  <c r="J727" i="3"/>
  <c r="L727" i="3" s="1"/>
  <c r="AA728" i="3"/>
  <c r="P728" i="3"/>
  <c r="Q728" i="3" s="1"/>
  <c r="R728" i="3" s="1"/>
  <c r="S728" i="3" s="1"/>
  <c r="AC728" i="3"/>
  <c r="Z728" i="3"/>
  <c r="AD728" i="3"/>
  <c r="U727" i="3" l="1"/>
  <c r="Y726" i="3"/>
  <c r="T728" i="3"/>
  <c r="D728" i="3" l="1"/>
  <c r="G728" i="3" s="1"/>
  <c r="AG728" i="3"/>
  <c r="E728" i="3"/>
  <c r="H728" i="3" s="1"/>
  <c r="AH728" i="3"/>
  <c r="F728" i="3" l="1"/>
  <c r="I728" i="3"/>
  <c r="J728" i="3"/>
  <c r="M728" i="3"/>
  <c r="N728" i="3" s="1"/>
  <c r="K728" i="3"/>
  <c r="AE728" i="3" s="1"/>
  <c r="V728" i="3" l="1"/>
  <c r="W728" i="3" s="1"/>
  <c r="A729" i="3"/>
  <c r="B729" i="3" s="1"/>
  <c r="L728" i="3"/>
  <c r="U728" i="3" l="1"/>
  <c r="Y727" i="3"/>
  <c r="P729" i="3"/>
  <c r="Q729" i="3" s="1"/>
  <c r="R729" i="3" s="1"/>
  <c r="S729" i="3" s="1"/>
  <c r="AA729" i="3"/>
  <c r="AD729" i="3"/>
  <c r="AC729" i="3"/>
  <c r="Z729" i="3"/>
  <c r="T729" i="3" l="1"/>
  <c r="E729" i="3" s="1"/>
  <c r="H729" i="3" s="1"/>
  <c r="AH729" i="3" l="1"/>
  <c r="D729" i="3"/>
  <c r="F729" i="3" s="1"/>
  <c r="AG729" i="3"/>
  <c r="K729" i="3"/>
  <c r="AE729" i="3" s="1"/>
  <c r="G729" i="3" l="1"/>
  <c r="I729" i="3" s="1"/>
  <c r="V729" i="3"/>
  <c r="A730" i="3"/>
  <c r="B730" i="3" s="1"/>
  <c r="W729" i="3" l="1"/>
  <c r="J729" i="3"/>
  <c r="L729" i="3" s="1"/>
  <c r="M729" i="3"/>
  <c r="N729" i="3" s="1"/>
  <c r="AA730" i="3"/>
  <c r="Z730" i="3"/>
  <c r="AD730" i="3"/>
  <c r="P730" i="3"/>
  <c r="Q730" i="3" s="1"/>
  <c r="R730" i="3" s="1"/>
  <c r="S730" i="3" s="1"/>
  <c r="AC730" i="3"/>
  <c r="U729" i="3" l="1"/>
  <c r="Y728" i="3"/>
  <c r="T730" i="3"/>
  <c r="AG730" i="3" s="1"/>
  <c r="D730" i="3" l="1"/>
  <c r="E730" i="3"/>
  <c r="H730" i="3" s="1"/>
  <c r="AH730" i="3"/>
  <c r="K730" i="3" l="1"/>
  <c r="AE730" i="3" s="1"/>
  <c r="F730" i="3"/>
  <c r="G730" i="3"/>
  <c r="I730" i="3" l="1"/>
  <c r="J730" i="3"/>
  <c r="M730" i="3"/>
  <c r="N730" i="3" s="1"/>
  <c r="V730" i="3"/>
  <c r="A731" i="3"/>
  <c r="B731" i="3" s="1"/>
  <c r="W730" i="3" l="1"/>
  <c r="L730" i="3"/>
  <c r="P731" i="3"/>
  <c r="Q731" i="3" s="1"/>
  <c r="R731" i="3" s="1"/>
  <c r="S731" i="3" s="1"/>
  <c r="Z731" i="3"/>
  <c r="AA731" i="3"/>
  <c r="AD731" i="3"/>
  <c r="AC731" i="3"/>
  <c r="U730" i="3" l="1"/>
  <c r="Y729" i="3"/>
  <c r="T731" i="3"/>
  <c r="AG731" i="3" s="1"/>
  <c r="E731" i="3" l="1"/>
  <c r="H731" i="3" s="1"/>
  <c r="K731" i="3" s="1"/>
  <c r="AE731" i="3" s="1"/>
  <c r="AH731" i="3"/>
  <c r="D731" i="3"/>
  <c r="F731" i="3" l="1"/>
  <c r="G731" i="3"/>
  <c r="J731" i="3" s="1"/>
  <c r="V731" i="3"/>
  <c r="A732" i="3"/>
  <c r="B732" i="3" s="1"/>
  <c r="M731" i="3" l="1"/>
  <c r="N731" i="3" s="1"/>
  <c r="I731" i="3"/>
  <c r="W731" i="3" s="1"/>
  <c r="L731" i="3"/>
  <c r="AC732" i="3"/>
  <c r="Z732" i="3"/>
  <c r="AD732" i="3"/>
  <c r="AA732" i="3"/>
  <c r="P732" i="3"/>
  <c r="Q732" i="3" s="1"/>
  <c r="R732" i="3" s="1"/>
  <c r="S732" i="3" s="1"/>
  <c r="U731" i="3" l="1"/>
  <c r="Y730" i="3"/>
  <c r="T732" i="3"/>
  <c r="E732" i="3" l="1"/>
  <c r="H732" i="3" s="1"/>
  <c r="K732" i="3" s="1"/>
  <c r="AE732" i="3" s="1"/>
  <c r="D732" i="3"/>
  <c r="G732" i="3" s="1"/>
  <c r="AH732" i="3"/>
  <c r="AG732" i="3"/>
  <c r="F732" i="3" l="1"/>
  <c r="I732" i="3"/>
  <c r="J732" i="3"/>
  <c r="M732" i="3"/>
  <c r="N732" i="3" s="1"/>
  <c r="V732" i="3"/>
  <c r="A733" i="3"/>
  <c r="B733" i="3" s="1"/>
  <c r="W732" i="3" l="1"/>
  <c r="L732" i="3"/>
  <c r="AC733" i="3"/>
  <c r="P733" i="3"/>
  <c r="Q733" i="3" s="1"/>
  <c r="R733" i="3" s="1"/>
  <c r="S733" i="3" s="1"/>
  <c r="AA733" i="3"/>
  <c r="Z733" i="3"/>
  <c r="AD733" i="3"/>
  <c r="T733" i="3" l="1"/>
  <c r="AH733" i="3" s="1"/>
  <c r="U732" i="3"/>
  <c r="Y731" i="3"/>
  <c r="D733" i="3" l="1"/>
  <c r="G733" i="3" s="1"/>
  <c r="E733" i="3"/>
  <c r="H733" i="3" s="1"/>
  <c r="AG733" i="3"/>
  <c r="F733" i="3" l="1"/>
  <c r="I733" i="3"/>
  <c r="J733" i="3"/>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AD735" i="3"/>
  <c r="L734" i="3" l="1"/>
  <c r="Y733" i="3" s="1"/>
  <c r="AD734" i="3"/>
  <c r="T735" i="3"/>
  <c r="U734" i="3" l="1"/>
  <c r="E735" i="3" s="1"/>
  <c r="H735" i="3" s="1"/>
  <c r="AH735" i="3"/>
  <c r="AG735" i="3"/>
  <c r="D735" i="3" l="1"/>
  <c r="G735" i="3" s="1"/>
  <c r="M735" i="3" s="1"/>
  <c r="N735" i="3" s="1"/>
  <c r="K735" i="3"/>
  <c r="AE735" i="3" s="1"/>
  <c r="F735" i="3" l="1"/>
  <c r="I735" i="3"/>
  <c r="J735" i="3"/>
  <c r="L735" i="3" s="1"/>
  <c r="V735" i="3"/>
  <c r="A736" i="3"/>
  <c r="B736" i="3" s="1"/>
  <c r="W735" i="3" l="1"/>
  <c r="U735" i="3"/>
  <c r="Y734" i="3"/>
  <c r="Z736" i="3"/>
  <c r="P736" i="3"/>
  <c r="Q736" i="3" s="1"/>
  <c r="R736" i="3" s="1"/>
  <c r="S736" i="3" s="1"/>
  <c r="AA736" i="3"/>
  <c r="AD736" i="3"/>
  <c r="AC736" i="3"/>
  <c r="T736" i="3" l="1"/>
  <c r="E736" i="3" s="1"/>
  <c r="H736" i="3" s="1"/>
  <c r="AH736" i="3" l="1"/>
  <c r="D736" i="3"/>
  <c r="F736" i="3" s="1"/>
  <c r="K736" i="3"/>
  <c r="AE736" i="3" s="1"/>
  <c r="AG736" i="3"/>
  <c r="G736" i="3" l="1"/>
  <c r="M736" i="3" s="1"/>
  <c r="N736" i="3" s="1"/>
  <c r="V736" i="3"/>
  <c r="A737" i="3"/>
  <c r="B737" i="3" s="1"/>
  <c r="I736" i="3" l="1"/>
  <c r="W736" i="3" s="1"/>
  <c r="J736" i="3"/>
  <c r="L736" i="3" s="1"/>
  <c r="AC737" i="3"/>
  <c r="P737" i="3"/>
  <c r="Q737" i="3" s="1"/>
  <c r="R737" i="3" s="1"/>
  <c r="S737" i="3" s="1"/>
  <c r="AD737" i="3"/>
  <c r="Z737" i="3"/>
  <c r="AA737" i="3"/>
  <c r="U736" i="3" l="1"/>
  <c r="Y735" i="3"/>
  <c r="T737" i="3"/>
  <c r="AH737" i="3" s="1"/>
  <c r="D737" i="3" l="1"/>
  <c r="E737" i="3"/>
  <c r="H737" i="3" s="1"/>
  <c r="AG737" i="3"/>
  <c r="F737" i="3" l="1"/>
  <c r="G737" i="3"/>
  <c r="K737" i="3"/>
  <c r="AE737" i="3" s="1"/>
  <c r="V737" i="3" l="1"/>
  <c r="A738" i="3"/>
  <c r="B738" i="3" s="1"/>
  <c r="I737" i="3"/>
  <c r="J737" i="3"/>
  <c r="M737" i="3"/>
  <c r="N737" i="3" s="1"/>
  <c r="W737" i="3" l="1"/>
  <c r="L737" i="3"/>
  <c r="AA738" i="3"/>
  <c r="P738" i="3"/>
  <c r="Q738" i="3" s="1"/>
  <c r="R738" i="3" s="1"/>
  <c r="S738" i="3" s="1"/>
  <c r="AC738" i="3"/>
  <c r="Z738" i="3"/>
  <c r="AD738" i="3"/>
  <c r="U737" i="3" l="1"/>
  <c r="Y736" i="3"/>
  <c r="T738" i="3"/>
  <c r="E738" i="3" l="1"/>
  <c r="H738" i="3" s="1"/>
  <c r="K738" i="3" s="1"/>
  <c r="AE738" i="3" s="1"/>
  <c r="D738" i="3"/>
  <c r="AG738" i="3"/>
  <c r="AH738" i="3"/>
  <c r="V738" i="3" l="1"/>
  <c r="A739" i="3"/>
  <c r="B739" i="3" s="1"/>
  <c r="F738" i="3"/>
  <c r="G738" i="3"/>
  <c r="I738" i="3" l="1"/>
  <c r="W738" i="3" s="1"/>
  <c r="J738" i="3"/>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AD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L745" i="3" s="1"/>
  <c r="Z746" i="3"/>
  <c r="AD746" i="3"/>
  <c r="P746" i="3"/>
  <c r="Q746" i="3" s="1"/>
  <c r="R746" i="3" s="1"/>
  <c r="S746" i="3" s="1"/>
  <c r="AA746" i="3"/>
  <c r="AC746" i="3"/>
  <c r="U745" i="3" l="1"/>
  <c r="Y744" i="3"/>
  <c r="T746" i="3"/>
  <c r="D746" i="3" l="1"/>
  <c r="G746" i="3" s="1"/>
  <c r="AG746" i="3"/>
  <c r="E746" i="3"/>
  <c r="H746" i="3" s="1"/>
  <c r="AH746" i="3"/>
  <c r="F746" i="3" l="1"/>
  <c r="I746" i="3"/>
  <c r="J746" i="3"/>
  <c r="M746" i="3"/>
  <c r="N746" i="3" s="1"/>
  <c r="K746" i="3"/>
  <c r="AE746" i="3" s="1"/>
  <c r="V746" i="3" l="1"/>
  <c r="W746" i="3" s="1"/>
  <c r="A747" i="3"/>
  <c r="B747" i="3" s="1"/>
  <c r="L746" i="3"/>
  <c r="U746" i="3" l="1"/>
  <c r="Y745" i="3"/>
  <c r="AA747" i="3"/>
  <c r="AD747" i="3"/>
  <c r="Z747" i="3"/>
  <c r="AC747" i="3"/>
  <c r="P747" i="3"/>
  <c r="Q747" i="3" s="1"/>
  <c r="R747" i="3" s="1"/>
  <c r="S747" i="3" s="1"/>
  <c r="T747" i="3" l="1"/>
  <c r="D747" i="3" s="1"/>
  <c r="AG747" i="3" l="1"/>
  <c r="E747" i="3"/>
  <c r="H747" i="3" s="1"/>
  <c r="K747" i="3" s="1"/>
  <c r="AE747" i="3" s="1"/>
  <c r="AH747" i="3"/>
  <c r="G747" i="3"/>
  <c r="F747" i="3" l="1"/>
  <c r="I747" i="3"/>
  <c r="J747" i="3"/>
  <c r="M747" i="3"/>
  <c r="N747" i="3" s="1"/>
  <c r="V747" i="3"/>
  <c r="A748" i="3"/>
  <c r="B748" i="3" s="1"/>
  <c r="W747" i="3" l="1"/>
  <c r="L747" i="3"/>
  <c r="AC748" i="3"/>
  <c r="P748" i="3"/>
  <c r="Q748" i="3" s="1"/>
  <c r="R748" i="3" s="1"/>
  <c r="S748" i="3" s="1"/>
  <c r="AD748" i="3"/>
  <c r="Z748" i="3"/>
  <c r="AA748" i="3"/>
  <c r="U747" i="3" l="1"/>
  <c r="Y746" i="3"/>
  <c r="T748" i="3"/>
  <c r="E748" i="3" l="1"/>
  <c r="H748" i="3" s="1"/>
  <c r="K748" i="3" s="1"/>
  <c r="AE748" i="3" s="1"/>
  <c r="D748" i="3"/>
  <c r="AH748" i="3"/>
  <c r="AG748" i="3"/>
  <c r="V748" i="3" l="1"/>
  <c r="A749" i="3"/>
  <c r="B749" i="3" s="1"/>
  <c r="F748" i="3"/>
  <c r="G748" i="3"/>
  <c r="I748" i="3" l="1"/>
  <c r="W748" i="3" s="1"/>
  <c r="J748" i="3"/>
  <c r="M748" i="3"/>
  <c r="N748" i="3" s="1"/>
  <c r="AA749" i="3"/>
  <c r="Z749" i="3"/>
  <c r="P749" i="3"/>
  <c r="Q749" i="3" s="1"/>
  <c r="R749" i="3" s="1"/>
  <c r="S749" i="3" s="1"/>
  <c r="AC749" i="3"/>
  <c r="AD749" i="3"/>
  <c r="T749" i="3" l="1"/>
  <c r="L748" i="3"/>
  <c r="U748" i="3" l="1"/>
  <c r="E749" i="3" s="1"/>
  <c r="H749" i="3" s="1"/>
  <c r="AG749" i="3"/>
  <c r="AH749" i="3"/>
  <c r="Y747" i="3"/>
  <c r="K749" i="3" l="1"/>
  <c r="AE749" i="3" s="1"/>
  <c r="D749" i="3"/>
  <c r="V749" i="3" l="1"/>
  <c r="A750" i="3"/>
  <c r="B750" i="3" s="1"/>
  <c r="F749" i="3"/>
  <c r="G749" i="3"/>
  <c r="I749" i="3" l="1"/>
  <c r="W749" i="3" s="1"/>
  <c r="J749" i="3"/>
  <c r="M749" i="3"/>
  <c r="N749" i="3" s="1"/>
  <c r="AA750" i="3"/>
  <c r="AC750" i="3"/>
  <c r="Z750" i="3"/>
  <c r="AD750" i="3"/>
  <c r="P750" i="3"/>
  <c r="Q750" i="3" s="1"/>
  <c r="R750" i="3" s="1"/>
  <c r="S750" i="3" s="1"/>
  <c r="T750" i="3" l="1"/>
  <c r="L749" i="3"/>
  <c r="AH750" i="3" l="1"/>
  <c r="AG750" i="3"/>
  <c r="U749" i="3"/>
  <c r="D750" i="3" s="1"/>
  <c r="Y748" i="3"/>
  <c r="G750" i="3" l="1"/>
  <c r="E750" i="3"/>
  <c r="H750" i="3" s="1"/>
  <c r="F750" i="3" l="1"/>
  <c r="I750" i="3"/>
  <c r="J750" i="3"/>
  <c r="M750" i="3"/>
  <c r="N750" i="3" s="1"/>
  <c r="K750" i="3"/>
  <c r="AE750" i="3" s="1"/>
  <c r="V750" i="3" l="1"/>
  <c r="W750" i="3" s="1"/>
  <c r="A751" i="3"/>
  <c r="B751" i="3" s="1"/>
  <c r="L750" i="3"/>
  <c r="U750" i="3" l="1"/>
  <c r="Y749" i="3"/>
  <c r="P751" i="3"/>
  <c r="Q751" i="3" s="1"/>
  <c r="R751" i="3" s="1"/>
  <c r="S751" i="3" s="1"/>
  <c r="Z751" i="3"/>
  <c r="AA751" i="3"/>
  <c r="AC751" i="3"/>
  <c r="AD751" i="3"/>
  <c r="T751" i="3" l="1"/>
  <c r="AH751" i="3" s="1"/>
  <c r="E751" i="3" l="1"/>
  <c r="H751" i="3" s="1"/>
  <c r="K751" i="3" s="1"/>
  <c r="AE751" i="3" s="1"/>
  <c r="AG751" i="3"/>
  <c r="D751" i="3"/>
  <c r="F751" i="3" l="1"/>
  <c r="G751" i="3"/>
  <c r="V751" i="3"/>
  <c r="A752" i="3"/>
  <c r="B752" i="3" s="1"/>
  <c r="AA752" i="3" l="1"/>
  <c r="AD752" i="3"/>
  <c r="Z752" i="3"/>
  <c r="AC752" i="3"/>
  <c r="P752" i="3"/>
  <c r="Q752" i="3" s="1"/>
  <c r="R752" i="3" s="1"/>
  <c r="S752" i="3" s="1"/>
  <c r="I751" i="3"/>
  <c r="W751" i="3" s="1"/>
  <c r="J751" i="3"/>
  <c r="M751" i="3"/>
  <c r="N751" i="3" s="1"/>
  <c r="L751" i="3" l="1"/>
  <c r="T752" i="3"/>
  <c r="U751" i="3" l="1"/>
  <c r="E752" i="3" s="1"/>
  <c r="H752" i="3" s="1"/>
  <c r="AG752" i="3"/>
  <c r="AH752" i="3"/>
  <c r="Y750" i="3"/>
  <c r="K752" i="3" l="1"/>
  <c r="AE752" i="3" s="1"/>
  <c r="D752" i="3"/>
  <c r="V752" i="3" l="1"/>
  <c r="A753" i="3"/>
  <c r="B753" i="3" s="1"/>
  <c r="F752" i="3"/>
  <c r="G752" i="3"/>
  <c r="I752" i="3" l="1"/>
  <c r="W752" i="3" s="1"/>
  <c r="J752" i="3"/>
  <c r="M752" i="3"/>
  <c r="N752" i="3" s="1"/>
  <c r="AD753" i="3"/>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D755"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AD756" i="3"/>
  <c r="I755" i="3"/>
  <c r="W755" i="3" s="1"/>
  <c r="J755" i="3"/>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L756" i="3" s="1"/>
  <c r="AD757" i="3"/>
  <c r="AC757" i="3"/>
  <c r="P757" i="3"/>
  <c r="Q757" i="3" s="1"/>
  <c r="R757" i="3" s="1"/>
  <c r="S757" i="3" s="1"/>
  <c r="Z757" i="3"/>
  <c r="AA757" i="3"/>
  <c r="T757" i="3" l="1"/>
  <c r="U756" i="3"/>
  <c r="Y755" i="3"/>
  <c r="E757" i="3" l="1"/>
  <c r="H757" i="3" s="1"/>
  <c r="K757" i="3" s="1"/>
  <c r="AE757" i="3" s="1"/>
  <c r="AH757" i="3"/>
  <c r="D757" i="3"/>
  <c r="AG757" i="3"/>
  <c r="V757" i="3" l="1"/>
  <c r="A758" i="3"/>
  <c r="B758" i="3" s="1"/>
  <c r="F757" i="3"/>
  <c r="G757" i="3"/>
  <c r="I757" i="3" l="1"/>
  <c r="W757" i="3" s="1"/>
  <c r="J757" i="3"/>
  <c r="M757" i="3"/>
  <c r="N757" i="3" s="1"/>
  <c r="AA758" i="3"/>
  <c r="Z758" i="3"/>
  <c r="AD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M758" i="3"/>
  <c r="N758" i="3" s="1"/>
  <c r="L758" i="3" l="1"/>
  <c r="W758" i="3"/>
  <c r="AD759" i="3"/>
  <c r="P759" i="3"/>
  <c r="Q759" i="3" s="1"/>
  <c r="R759" i="3" s="1"/>
  <c r="S759" i="3" s="1"/>
  <c r="Z759" i="3"/>
  <c r="AA759" i="3"/>
  <c r="AC759" i="3"/>
  <c r="U758" i="3" l="1"/>
  <c r="Y757" i="3"/>
  <c r="T759" i="3"/>
  <c r="D759" i="3" l="1"/>
  <c r="G759" i="3" s="1"/>
  <c r="AG759" i="3"/>
  <c r="E759" i="3"/>
  <c r="H759" i="3" s="1"/>
  <c r="AH759" i="3"/>
  <c r="F759" i="3" l="1"/>
  <c r="I759" i="3"/>
  <c r="J759" i="3"/>
  <c r="M759" i="3"/>
  <c r="N759" i="3" s="1"/>
  <c r="K759" i="3"/>
  <c r="AE759" i="3" s="1"/>
  <c r="V759" i="3" l="1"/>
  <c r="W759" i="3" s="1"/>
  <c r="A760" i="3"/>
  <c r="B760" i="3" s="1"/>
  <c r="L759" i="3"/>
  <c r="U759" i="3" l="1"/>
  <c r="Y758" i="3"/>
  <c r="AA760" i="3"/>
  <c r="AC760" i="3"/>
  <c r="Z760" i="3"/>
  <c r="P760" i="3"/>
  <c r="Q760" i="3" s="1"/>
  <c r="R760" i="3" s="1"/>
  <c r="S760" i="3" s="1"/>
  <c r="AD760" i="3"/>
  <c r="T760" i="3" l="1"/>
  <c r="E760" i="3" s="1"/>
  <c r="H760" i="3" s="1"/>
  <c r="AH760" i="3" l="1"/>
  <c r="AG760" i="3"/>
  <c r="D760" i="3"/>
  <c r="G760" i="3" s="1"/>
  <c r="K760" i="3"/>
  <c r="AE760" i="3" s="1"/>
  <c r="F760" i="3" l="1"/>
  <c r="I760" i="3"/>
  <c r="J760" i="3"/>
  <c r="M760" i="3"/>
  <c r="N760" i="3" s="1"/>
  <c r="V760" i="3"/>
  <c r="A761" i="3"/>
  <c r="B761" i="3" s="1"/>
  <c r="W760" i="3" l="1"/>
  <c r="L760" i="3"/>
  <c r="P761" i="3"/>
  <c r="Q761" i="3" s="1"/>
  <c r="R761" i="3" s="1"/>
  <c r="S761" i="3" s="1"/>
  <c r="Z761" i="3"/>
  <c r="AA761" i="3"/>
  <c r="AD761" i="3"/>
  <c r="AC761" i="3"/>
  <c r="T761" i="3" l="1"/>
  <c r="U760" i="3"/>
  <c r="Y759" i="3"/>
  <c r="D761" i="3" l="1"/>
  <c r="G761" i="3" s="1"/>
  <c r="AG761" i="3"/>
  <c r="AH761" i="3"/>
  <c r="E761" i="3"/>
  <c r="H761" i="3" s="1"/>
  <c r="F761" i="3" l="1"/>
  <c r="I761" i="3"/>
  <c r="J761" i="3"/>
  <c r="M761" i="3"/>
  <c r="N761" i="3" s="1"/>
  <c r="K761" i="3"/>
  <c r="AE761" i="3" s="1"/>
  <c r="V761" i="3" l="1"/>
  <c r="W761" i="3" s="1"/>
  <c r="A762" i="3"/>
  <c r="B762" i="3" s="1"/>
  <c r="L761" i="3"/>
  <c r="U761" i="3" l="1"/>
  <c r="Y760" i="3"/>
  <c r="AA762" i="3"/>
  <c r="Z762" i="3"/>
  <c r="AC762" i="3"/>
  <c r="P762" i="3"/>
  <c r="Q762" i="3" s="1"/>
  <c r="R762" i="3" s="1"/>
  <c r="S762" i="3" s="1"/>
  <c r="AD762" i="3"/>
  <c r="T762" i="3" l="1"/>
  <c r="D762" i="3" s="1"/>
  <c r="E762" i="3" l="1"/>
  <c r="H762" i="3" s="1"/>
  <c r="K762" i="3" s="1"/>
  <c r="AE762" i="3" s="1"/>
  <c r="AH762" i="3"/>
  <c r="AG762" i="3"/>
  <c r="G762" i="3"/>
  <c r="F762" i="3" l="1"/>
  <c r="I762" i="3"/>
  <c r="J762" i="3"/>
  <c r="M762" i="3"/>
  <c r="N762" i="3" s="1"/>
  <c r="V762" i="3"/>
  <c r="A763" i="3"/>
  <c r="B763" i="3" s="1"/>
  <c r="W762" i="3" l="1"/>
  <c r="L762" i="3"/>
  <c r="AC763" i="3"/>
  <c r="Z763" i="3"/>
  <c r="AA763" i="3"/>
  <c r="P763" i="3"/>
  <c r="Q763" i="3" s="1"/>
  <c r="R763" i="3" s="1"/>
  <c r="S763" i="3" s="1"/>
  <c r="AD763" i="3"/>
  <c r="U762" i="3" l="1"/>
  <c r="Y761" i="3"/>
  <c r="T763" i="3"/>
  <c r="D763" i="3" l="1"/>
  <c r="G763" i="3" s="1"/>
  <c r="AG763" i="3"/>
  <c r="AH763" i="3"/>
  <c r="E763" i="3"/>
  <c r="H763" i="3" s="1"/>
  <c r="K763" i="3" s="1"/>
  <c r="AE763" i="3" s="1"/>
  <c r="F763" i="3" l="1"/>
  <c r="I763" i="3"/>
  <c r="J763" i="3"/>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AD765" i="3"/>
  <c r="I764" i="3"/>
  <c r="W764" i="3" s="1"/>
  <c r="J764" i="3"/>
  <c r="AD764" i="3" s="1"/>
  <c r="M764" i="3"/>
  <c r="N764" i="3" s="1"/>
  <c r="T765" i="3" l="1"/>
  <c r="L764" i="3"/>
  <c r="AG765" i="3" l="1"/>
  <c r="AH765" i="3"/>
  <c r="U764" i="3"/>
  <c r="D765" i="3" s="1"/>
  <c r="Y763" i="3"/>
  <c r="E765" i="3" l="1"/>
  <c r="H765" i="3" s="1"/>
  <c r="K765" i="3" s="1"/>
  <c r="AE765" i="3" s="1"/>
  <c r="G765" i="3"/>
  <c r="F765" i="3" l="1"/>
  <c r="I765" i="3"/>
  <c r="J765" i="3"/>
  <c r="M765" i="3"/>
  <c r="N765" i="3" s="1"/>
  <c r="V765" i="3"/>
  <c r="A766" i="3"/>
  <c r="B766" i="3" s="1"/>
  <c r="W765" i="3" l="1"/>
  <c r="L765" i="3"/>
  <c r="AD766"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M766" i="3"/>
  <c r="N766" i="3" s="1"/>
  <c r="P767" i="3"/>
  <c r="Q767" i="3" s="1"/>
  <c r="R767" i="3" s="1"/>
  <c r="S767" i="3" s="1"/>
  <c r="AC767" i="3"/>
  <c r="AD767" i="3"/>
  <c r="AA767" i="3"/>
  <c r="Z767" i="3"/>
  <c r="T767" i="3" l="1"/>
  <c r="L766" i="3"/>
  <c r="AH767" i="3" l="1"/>
  <c r="AG767" i="3"/>
  <c r="U766" i="3"/>
  <c r="D767" i="3" s="1"/>
  <c r="Y765" i="3"/>
  <c r="E767" i="3" l="1"/>
  <c r="H767" i="3" s="1"/>
  <c r="K767" i="3" s="1"/>
  <c r="AE767" i="3" s="1"/>
  <c r="G767" i="3"/>
  <c r="F767" i="3" l="1"/>
  <c r="I767" i="3"/>
  <c r="J767" i="3"/>
  <c r="M767" i="3"/>
  <c r="N767" i="3" s="1"/>
  <c r="V767" i="3"/>
  <c r="A768" i="3"/>
  <c r="B768" i="3" s="1"/>
  <c r="W767" i="3" l="1"/>
  <c r="L767" i="3"/>
  <c r="AC768" i="3"/>
  <c r="AA768" i="3"/>
  <c r="AD768" i="3"/>
  <c r="P768" i="3"/>
  <c r="Q768" i="3" s="1"/>
  <c r="R768" i="3" s="1"/>
  <c r="S768" i="3" s="1"/>
  <c r="Z768" i="3"/>
  <c r="T768" i="3" l="1"/>
  <c r="AG768" i="3" s="1"/>
  <c r="U767" i="3"/>
  <c r="Y766" i="3"/>
  <c r="D768" i="3" l="1"/>
  <c r="G768" i="3" s="1"/>
  <c r="AH768" i="3"/>
  <c r="E768" i="3"/>
  <c r="H768" i="3" s="1"/>
  <c r="K768" i="3" l="1"/>
  <c r="AE768" i="3" s="1"/>
  <c r="I768" i="3"/>
  <c r="J768" i="3"/>
  <c r="M768" i="3"/>
  <c r="N768" i="3" s="1"/>
  <c r="F768" i="3"/>
  <c r="L768" i="3" l="1"/>
  <c r="V768" i="3"/>
  <c r="W768" i="3" s="1"/>
  <c r="A769" i="3"/>
  <c r="B769" i="3" s="1"/>
  <c r="AD769" i="3" l="1"/>
  <c r="AC769" i="3"/>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M769" i="3"/>
  <c r="N769" i="3" s="1"/>
  <c r="W769" i="3" l="1"/>
  <c r="L769" i="3"/>
  <c r="AC770" i="3"/>
  <c r="P770" i="3"/>
  <c r="Q770" i="3" s="1"/>
  <c r="R770" i="3" s="1"/>
  <c r="S770" i="3" s="1"/>
  <c r="AD770" i="3"/>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L770" i="3" s="1"/>
  <c r="AA771" i="3"/>
  <c r="AC771" i="3"/>
  <c r="P771" i="3"/>
  <c r="Q771" i="3" s="1"/>
  <c r="R771" i="3" s="1"/>
  <c r="S771" i="3" s="1"/>
  <c r="Z771" i="3"/>
  <c r="AD771" i="3"/>
  <c r="U770" i="3" l="1"/>
  <c r="Y769" i="3"/>
  <c r="T771" i="3"/>
  <c r="AH771" i="3" s="1"/>
  <c r="E771" i="3" l="1"/>
  <c r="H771" i="3" s="1"/>
  <c r="AG771" i="3"/>
  <c r="D771" i="3"/>
  <c r="K771" i="3" l="1"/>
  <c r="AE771" i="3" s="1"/>
  <c r="F771" i="3"/>
  <c r="G771" i="3"/>
  <c r="V771" i="3" l="1"/>
  <c r="A772" i="3"/>
  <c r="B772" i="3" s="1"/>
  <c r="I771" i="3"/>
  <c r="J771" i="3"/>
  <c r="M771" i="3"/>
  <c r="N771" i="3" s="1"/>
  <c r="L771" i="3" l="1"/>
  <c r="W771" i="3"/>
  <c r="AD772"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M772" i="3"/>
  <c r="N772" i="3" s="1"/>
  <c r="W772" i="3" l="1"/>
  <c r="L772" i="3"/>
  <c r="AA773" i="3"/>
  <c r="P773" i="3"/>
  <c r="Q773" i="3" s="1"/>
  <c r="R773" i="3" s="1"/>
  <c r="S773" i="3" s="1"/>
  <c r="Z773" i="3"/>
  <c r="AD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L773" i="3" s="1"/>
  <c r="AC774" i="3"/>
  <c r="P774" i="3"/>
  <c r="Q774" i="3" s="1"/>
  <c r="R774" i="3" s="1"/>
  <c r="S774" i="3" s="1"/>
  <c r="AA774" i="3"/>
  <c r="Z774" i="3"/>
  <c r="U773" i="3" l="1"/>
  <c r="Y772" i="3"/>
  <c r="T774" i="3"/>
  <c r="AG774" i="3" s="1"/>
  <c r="E774" i="3" l="1"/>
  <c r="H774" i="3" s="1"/>
  <c r="K774" i="3" s="1"/>
  <c r="AE774" i="3" s="1"/>
  <c r="AH774" i="3"/>
  <c r="D774" i="3"/>
  <c r="F774" i="3" l="1"/>
  <c r="G774" i="3"/>
  <c r="M774" i="3" s="1"/>
  <c r="N774" i="3" s="1"/>
  <c r="V774" i="3"/>
  <c r="A775" i="3"/>
  <c r="B775" i="3" s="1"/>
  <c r="I774" i="3" l="1"/>
  <c r="W774" i="3" s="1"/>
  <c r="J774" i="3"/>
  <c r="P775" i="3"/>
  <c r="Q775" i="3" s="1"/>
  <c r="R775" i="3" s="1"/>
  <c r="S775" i="3" s="1"/>
  <c r="Z775" i="3"/>
  <c r="AD775" i="3"/>
  <c r="AA775" i="3"/>
  <c r="AC775" i="3"/>
  <c r="L774" i="3" l="1"/>
  <c r="Y773"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D778" i="3"/>
  <c r="AA778" i="3"/>
  <c r="AC778" i="3"/>
  <c r="U777" i="3" l="1"/>
  <c r="Y776" i="3"/>
  <c r="T778" i="3"/>
  <c r="AH778" i="3" s="1"/>
  <c r="E778" i="3" l="1"/>
  <c r="H778" i="3" s="1"/>
  <c r="K778" i="3" s="1"/>
  <c r="AE778" i="3" s="1"/>
  <c r="AG778" i="3"/>
  <c r="D778" i="3"/>
  <c r="G778" i="3" s="1"/>
  <c r="F778" i="3" l="1"/>
  <c r="I778" i="3"/>
  <c r="J778" i="3"/>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AD785" i="3"/>
  <c r="P785" i="3"/>
  <c r="Q785" i="3" s="1"/>
  <c r="R785" i="3" s="1"/>
  <c r="S785" i="3" s="1"/>
  <c r="AC785" i="3"/>
  <c r="Z785" i="3"/>
  <c r="U784" i="3" l="1"/>
  <c r="Y783" i="3"/>
  <c r="T785" i="3"/>
  <c r="AH785" i="3" s="1"/>
  <c r="E785" i="3" l="1"/>
  <c r="H785" i="3" s="1"/>
  <c r="AG785" i="3"/>
  <c r="D785" i="3"/>
  <c r="K785" i="3" l="1"/>
  <c r="AE785" i="3" s="1"/>
  <c r="F785" i="3"/>
  <c r="G785" i="3"/>
  <c r="I785" i="3" l="1"/>
  <c r="J785" i="3"/>
  <c r="M785" i="3"/>
  <c r="N785" i="3" s="1"/>
  <c r="V785" i="3"/>
  <c r="A786" i="3"/>
  <c r="B786" i="3" s="1"/>
  <c r="W785" i="3" l="1"/>
  <c r="L785" i="3"/>
  <c r="Z786" i="3"/>
  <c r="AD786" i="3"/>
  <c r="AA786" i="3"/>
  <c r="P786" i="3"/>
  <c r="Q786" i="3" s="1"/>
  <c r="R786" i="3" s="1"/>
  <c r="S786" i="3" s="1"/>
  <c r="AC786" i="3"/>
  <c r="U785" i="3" l="1"/>
  <c r="Y784" i="3"/>
  <c r="T786" i="3"/>
  <c r="E786" i="3" l="1"/>
  <c r="H786" i="3" s="1"/>
  <c r="K786" i="3" s="1"/>
  <c r="AE786" i="3" s="1"/>
  <c r="AG786" i="3"/>
  <c r="D786" i="3"/>
  <c r="G786" i="3" s="1"/>
  <c r="AH786" i="3"/>
  <c r="F786" i="3" l="1"/>
  <c r="I786" i="3"/>
  <c r="J786" i="3"/>
  <c r="M786" i="3"/>
  <c r="N786" i="3" s="1"/>
  <c r="V786" i="3"/>
  <c r="A787" i="3"/>
  <c r="B787" i="3" s="1"/>
  <c r="L786" i="3" l="1"/>
  <c r="W786" i="3"/>
  <c r="AC787" i="3"/>
  <c r="P787" i="3"/>
  <c r="Q787" i="3" s="1"/>
  <c r="R787" i="3" s="1"/>
  <c r="S787" i="3" s="1"/>
  <c r="Z787" i="3"/>
  <c r="AD787" i="3"/>
  <c r="AA787" i="3"/>
  <c r="U786" i="3" l="1"/>
  <c r="Y785" i="3"/>
  <c r="T787" i="3"/>
  <c r="D787" i="3" l="1"/>
  <c r="G787" i="3" s="1"/>
  <c r="AH787" i="3"/>
  <c r="E787" i="3"/>
  <c r="H787" i="3" s="1"/>
  <c r="AG787" i="3"/>
  <c r="F787" i="3" l="1"/>
  <c r="I787" i="3"/>
  <c r="J787" i="3"/>
  <c r="M787" i="3"/>
  <c r="N787" i="3" s="1"/>
  <c r="K787" i="3"/>
  <c r="AE787" i="3" s="1"/>
  <c r="V787" i="3" l="1"/>
  <c r="W787" i="3" s="1"/>
  <c r="A788" i="3"/>
  <c r="B788" i="3" s="1"/>
  <c r="L787" i="3"/>
  <c r="U787" i="3" l="1"/>
  <c r="Y786" i="3"/>
  <c r="AC788" i="3"/>
  <c r="Z788" i="3"/>
  <c r="AD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L788" i="3" s="1"/>
  <c r="W788" i="3"/>
  <c r="P789" i="3"/>
  <c r="Q789" i="3" s="1"/>
  <c r="R789" i="3" s="1"/>
  <c r="S789" i="3" s="1"/>
  <c r="AC789" i="3"/>
  <c r="AD789" i="3"/>
  <c r="AA789" i="3"/>
  <c r="Z789" i="3"/>
  <c r="U788" i="3" l="1"/>
  <c r="Y787" i="3"/>
  <c r="T789" i="3"/>
  <c r="D789" i="3" l="1"/>
  <c r="G789" i="3" s="1"/>
  <c r="E789" i="3"/>
  <c r="H789" i="3" s="1"/>
  <c r="AH789" i="3"/>
  <c r="AG789" i="3"/>
  <c r="F789" i="3" l="1"/>
  <c r="I789" i="3"/>
  <c r="J789" i="3"/>
  <c r="M789" i="3"/>
  <c r="N789" i="3" s="1"/>
  <c r="K789" i="3"/>
  <c r="AE789" i="3" s="1"/>
  <c r="L789" i="3" l="1"/>
  <c r="V789" i="3"/>
  <c r="W789" i="3" s="1"/>
  <c r="A790" i="3"/>
  <c r="B790" i="3" s="1"/>
  <c r="AA790" i="3" l="1"/>
  <c r="AC790" i="3"/>
  <c r="Z790" i="3"/>
  <c r="AD790" i="3"/>
  <c r="P790" i="3"/>
  <c r="Q790" i="3" s="1"/>
  <c r="R790" i="3" s="1"/>
  <c r="S790" i="3" s="1"/>
  <c r="U789" i="3"/>
  <c r="Y788" i="3"/>
  <c r="T790" i="3" l="1"/>
  <c r="D790" i="3" s="1"/>
  <c r="AG790" i="3" l="1"/>
  <c r="G790" i="3"/>
  <c r="AH790" i="3"/>
  <c r="E790" i="3"/>
  <c r="H790" i="3" s="1"/>
  <c r="F790" i="3" l="1"/>
  <c r="I790" i="3"/>
  <c r="J790" i="3"/>
  <c r="M790" i="3"/>
  <c r="N790" i="3" s="1"/>
  <c r="K790" i="3"/>
  <c r="AE790" i="3" s="1"/>
  <c r="V790" i="3" l="1"/>
  <c r="W790" i="3" s="1"/>
  <c r="A791" i="3"/>
  <c r="B791" i="3" s="1"/>
  <c r="L790" i="3"/>
  <c r="U790" i="3" l="1"/>
  <c r="Y789" i="3"/>
  <c r="AD791" i="3"/>
  <c r="P791" i="3"/>
  <c r="Q791" i="3" s="1"/>
  <c r="R791" i="3" s="1"/>
  <c r="S791" i="3" s="1"/>
  <c r="AA791" i="3"/>
  <c r="AC791" i="3"/>
  <c r="Z791" i="3"/>
  <c r="T791" i="3" l="1"/>
  <c r="AG791" i="3" s="1"/>
  <c r="E791" i="3" l="1"/>
  <c r="H791" i="3" s="1"/>
  <c r="K791" i="3" s="1"/>
  <c r="AE791" i="3" s="1"/>
  <c r="D791" i="3"/>
  <c r="G791" i="3" s="1"/>
  <c r="AH791" i="3"/>
  <c r="F791" i="3" l="1"/>
  <c r="I791" i="3"/>
  <c r="J791" i="3"/>
  <c r="M791" i="3"/>
  <c r="N791" i="3" s="1"/>
  <c r="V791" i="3"/>
  <c r="A792" i="3"/>
  <c r="B792" i="3" s="1"/>
  <c r="W791" i="3" l="1"/>
  <c r="L791" i="3"/>
  <c r="P792" i="3"/>
  <c r="Q792" i="3" s="1"/>
  <c r="R792" i="3" s="1"/>
  <c r="S792" i="3" s="1"/>
  <c r="AC792" i="3"/>
  <c r="AD792" i="3"/>
  <c r="Z792" i="3"/>
  <c r="AA792" i="3"/>
  <c r="U791" i="3" l="1"/>
  <c r="Y790" i="3"/>
  <c r="T792" i="3"/>
  <c r="AG792" i="3" s="1"/>
  <c r="AH792" i="3" l="1"/>
  <c r="D792" i="3"/>
  <c r="E792" i="3"/>
  <c r="H792" i="3" s="1"/>
  <c r="F792" i="3" l="1"/>
  <c r="G792" i="3"/>
  <c r="K792" i="3"/>
  <c r="AE792" i="3" s="1"/>
  <c r="I792" i="3" l="1"/>
  <c r="J792" i="3"/>
  <c r="M792" i="3"/>
  <c r="N792" i="3" s="1"/>
  <c r="V792" i="3"/>
  <c r="A793" i="3"/>
  <c r="B793" i="3" s="1"/>
  <c r="L792" i="3" l="1"/>
  <c r="W792" i="3"/>
  <c r="AD793"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L793" i="3" s="1"/>
  <c r="Z794" i="3"/>
  <c r="AC794" i="3"/>
  <c r="P794" i="3"/>
  <c r="Q794" i="3" s="1"/>
  <c r="R794" i="3" s="1"/>
  <c r="S794" i="3" s="1"/>
  <c r="AA794" i="3"/>
  <c r="T794" i="3" l="1"/>
  <c r="AH794" i="3" s="1"/>
  <c r="U793" i="3"/>
  <c r="Y792" i="3"/>
  <c r="AG794" i="3" l="1"/>
  <c r="D794" i="3"/>
  <c r="E794" i="3"/>
  <c r="H794" i="3" s="1"/>
  <c r="F794" i="3" l="1"/>
  <c r="G794" i="3"/>
  <c r="K794" i="3"/>
  <c r="AE794" i="3" s="1"/>
  <c r="I794" i="3" l="1"/>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AD798" i="3"/>
  <c r="T798" i="3" l="1"/>
  <c r="U797" i="3"/>
  <c r="Y796" i="3"/>
  <c r="E798" i="3" l="1"/>
  <c r="H798" i="3" s="1"/>
  <c r="K798" i="3" s="1"/>
  <c r="AE798" i="3" s="1"/>
  <c r="D798" i="3"/>
  <c r="G798" i="3" s="1"/>
  <c r="AH798" i="3"/>
  <c r="AG798" i="3"/>
  <c r="F798" i="3" l="1"/>
  <c r="I798" i="3"/>
  <c r="J798" i="3"/>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D808" i="3"/>
  <c r="AC808" i="3"/>
  <c r="U807" i="3" l="1"/>
  <c r="Y806" i="3"/>
  <c r="T808" i="3"/>
  <c r="AH808" i="3" s="1"/>
  <c r="D808" i="3" l="1"/>
  <c r="G808" i="3" s="1"/>
  <c r="E808" i="3"/>
  <c r="H808" i="3" s="1"/>
  <c r="K808" i="3" s="1"/>
  <c r="AE808" i="3" s="1"/>
  <c r="AG808" i="3"/>
  <c r="F808" i="3" l="1"/>
  <c r="I808" i="3"/>
  <c r="J808" i="3"/>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AD818"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AD828" i="3"/>
  <c r="P828" i="3"/>
  <c r="Q828" i="3" s="1"/>
  <c r="R828" i="3" s="1"/>
  <c r="S828" i="3" s="1"/>
  <c r="AC828" i="3"/>
  <c r="AA828" i="3"/>
  <c r="Z828" i="3"/>
  <c r="U827" i="3" l="1"/>
  <c r="Y826" i="3"/>
  <c r="T828" i="3"/>
  <c r="D828" i="3" l="1"/>
  <c r="G828" i="3" s="1"/>
  <c r="AG828" i="3"/>
  <c r="AH828" i="3"/>
  <c r="E828" i="3"/>
  <c r="H828" i="3" s="1"/>
  <c r="F828" i="3" l="1"/>
  <c r="I828" i="3"/>
  <c r="J828" i="3"/>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AD838" i="3"/>
  <c r="U837" i="3" l="1"/>
  <c r="Y836" i="3"/>
  <c r="T838" i="3"/>
  <c r="AH838" i="3" s="1"/>
  <c r="E838" i="3" l="1"/>
  <c r="H838" i="3" s="1"/>
  <c r="D838" i="3"/>
  <c r="AG838" i="3"/>
  <c r="K838" i="3" l="1"/>
  <c r="AE838" i="3" s="1"/>
  <c r="F838" i="3"/>
  <c r="G838" i="3"/>
  <c r="V838" i="3" l="1"/>
  <c r="A839" i="3"/>
  <c r="B839" i="3" s="1"/>
  <c r="I838" i="3"/>
  <c r="J838" i="3"/>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AD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AD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AD868" i="3"/>
  <c r="Z868" i="3"/>
  <c r="AA868" i="3"/>
  <c r="AC868" i="3"/>
  <c r="P868" i="3"/>
  <c r="Q868" i="3" s="1"/>
  <c r="R868" i="3" s="1"/>
  <c r="S868" i="3" s="1"/>
  <c r="T868" i="3" l="1"/>
  <c r="U867" i="3"/>
  <c r="Y866" i="3"/>
  <c r="E868" i="3" l="1"/>
  <c r="H868" i="3" s="1"/>
  <c r="K868" i="3" s="1"/>
  <c r="AE868" i="3" s="1"/>
  <c r="AH868" i="3"/>
  <c r="D868" i="3"/>
  <c r="G868" i="3" s="1"/>
  <c r="AG868" i="3"/>
  <c r="F868" i="3" l="1"/>
  <c r="I868" i="3"/>
  <c r="J868" i="3"/>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D878" i="3"/>
  <c r="AC878" i="3"/>
  <c r="AA878" i="3"/>
  <c r="P878" i="3"/>
  <c r="Q878" i="3" s="1"/>
  <c r="R878" i="3" s="1"/>
  <c r="S878" i="3" s="1"/>
  <c r="T878" i="3" l="1"/>
  <c r="E878" i="3" s="1"/>
  <c r="H878" i="3" s="1"/>
  <c r="D878" i="3" l="1"/>
  <c r="G878" i="3" s="1"/>
  <c r="AG878" i="3"/>
  <c r="AH878" i="3"/>
  <c r="K878" i="3"/>
  <c r="AE878" i="3" s="1"/>
  <c r="F878" i="3" l="1"/>
  <c r="I878" i="3"/>
  <c r="J878" i="3"/>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D888" i="3"/>
  <c r="AA888" i="3"/>
  <c r="Z888" i="3"/>
  <c r="P888" i="3"/>
  <c r="Q888" i="3" s="1"/>
  <c r="R888" i="3" s="1"/>
  <c r="S888" i="3" s="1"/>
  <c r="T888" i="3" l="1"/>
  <c r="U887" i="3"/>
  <c r="Y886" i="3"/>
  <c r="E888" i="3" l="1"/>
  <c r="H888" i="3" s="1"/>
  <c r="K888" i="3" s="1"/>
  <c r="AE888" i="3" s="1"/>
  <c r="D888" i="3"/>
  <c r="G888" i="3" s="1"/>
  <c r="AG888" i="3"/>
  <c r="AH888" i="3"/>
  <c r="F888" i="3" l="1"/>
  <c r="I888" i="3"/>
  <c r="J888" i="3"/>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AD898" i="3"/>
  <c r="P898" i="3"/>
  <c r="Q898" i="3" s="1"/>
  <c r="R898" i="3" s="1"/>
  <c r="S898" i="3" s="1"/>
  <c r="Z898" i="3"/>
  <c r="AC898" i="3"/>
  <c r="U897" i="3"/>
  <c r="Y896" i="3"/>
  <c r="T898" i="3" l="1"/>
  <c r="D898" i="3" s="1"/>
  <c r="G898" i="3" l="1"/>
  <c r="AG898" i="3"/>
  <c r="E898" i="3"/>
  <c r="H898" i="3" s="1"/>
  <c r="AH898" i="3"/>
  <c r="F898" i="3" l="1"/>
  <c r="I898" i="3"/>
  <c r="J898" i="3"/>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D908" i="3"/>
  <c r="AC908" i="3"/>
  <c r="T908" i="3" l="1"/>
  <c r="L907" i="3"/>
  <c r="AG908" i="3" l="1"/>
  <c r="AH908" i="3"/>
  <c r="U907" i="3"/>
  <c r="E908" i="3" s="1"/>
  <c r="H908" i="3" s="1"/>
  <c r="Y906" i="3"/>
  <c r="D908" i="3" l="1"/>
  <c r="G908" i="3" s="1"/>
  <c r="K908" i="3"/>
  <c r="AE908" i="3" s="1"/>
  <c r="F908" i="3" l="1"/>
  <c r="I908" i="3"/>
  <c r="J908" i="3"/>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D918" i="3"/>
  <c r="AA918" i="3"/>
  <c r="Z918" i="3"/>
  <c r="P918" i="3"/>
  <c r="Q918" i="3" s="1"/>
  <c r="R918" i="3" s="1"/>
  <c r="S918" i="3" s="1"/>
  <c r="T918" i="3" l="1"/>
  <c r="U917" i="3"/>
  <c r="Y916" i="3"/>
  <c r="E918" i="3" l="1"/>
  <c r="H918" i="3" s="1"/>
  <c r="K918" i="3" s="1"/>
  <c r="AE918" i="3" s="1"/>
  <c r="AH918" i="3"/>
  <c r="D918" i="3"/>
  <c r="G918" i="3" s="1"/>
  <c r="AG918" i="3"/>
  <c r="F918" i="3" l="1"/>
  <c r="I918" i="3"/>
  <c r="J918" i="3"/>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D928" i="3"/>
  <c r="AA928" i="3"/>
  <c r="Z928" i="3"/>
  <c r="P928" i="3"/>
  <c r="Q928" i="3" s="1"/>
  <c r="R928" i="3" s="1"/>
  <c r="S928" i="3" s="1"/>
  <c r="T928" i="3" l="1"/>
  <c r="D928" i="3" s="1"/>
  <c r="AH928" i="3" l="1"/>
  <c r="E928" i="3"/>
  <c r="H928" i="3" s="1"/>
  <c r="K928" i="3" s="1"/>
  <c r="AE928" i="3" s="1"/>
  <c r="AG928" i="3"/>
  <c r="G928" i="3"/>
  <c r="F928" i="3" l="1"/>
  <c r="I928" i="3"/>
  <c r="J928" i="3"/>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AD938" i="3"/>
  <c r="T938" i="3" l="1"/>
  <c r="AG938" i="3" s="1"/>
  <c r="U937" i="3"/>
  <c r="Y936" i="3"/>
  <c r="D938" i="3" l="1"/>
  <c r="AH938" i="3"/>
  <c r="E938" i="3"/>
  <c r="H938" i="3" s="1"/>
  <c r="F938" i="3" l="1"/>
  <c r="G938" i="3"/>
  <c r="J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AD948" i="3"/>
  <c r="Z948" i="3"/>
  <c r="AC948" i="3"/>
  <c r="U947" i="3" l="1"/>
  <c r="Y946" i="3"/>
  <c r="T948" i="3"/>
  <c r="AH948" i="3" s="1"/>
  <c r="AG948" i="3" l="1"/>
  <c r="E948" i="3"/>
  <c r="H948" i="3" s="1"/>
  <c r="D948" i="3"/>
  <c r="K948" i="3" l="1"/>
  <c r="AE948" i="3" s="1"/>
  <c r="F948" i="3"/>
  <c r="G948" i="3"/>
  <c r="I948" i="3" l="1"/>
  <c r="J948" i="3"/>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D955" i="3"/>
  <c r="AC955" i="3"/>
  <c r="Z955" i="3"/>
  <c r="U954" i="3" l="1"/>
  <c r="Y953" i="3"/>
  <c r="T955" i="3"/>
  <c r="AG955" i="3" s="1"/>
  <c r="AH955" i="3" l="1"/>
  <c r="D955" i="3"/>
  <c r="E955" i="3"/>
  <c r="H955" i="3" s="1"/>
  <c r="F955" i="3" l="1"/>
  <c r="G955" i="3"/>
  <c r="K955" i="3"/>
  <c r="AE955" i="3" s="1"/>
  <c r="I955" i="3" l="1"/>
  <c r="J955" i="3"/>
  <c r="M955" i="3"/>
  <c r="N955" i="3" s="1"/>
  <c r="V955" i="3"/>
  <c r="A956" i="3"/>
  <c r="B956" i="3" s="1"/>
  <c r="W955" i="3" l="1"/>
  <c r="L955" i="3"/>
  <c r="AA956" i="3"/>
  <c r="P956" i="3"/>
  <c r="Q956" i="3" s="1"/>
  <c r="R956" i="3" s="1"/>
  <c r="S956" i="3" s="1"/>
  <c r="Z956" i="3"/>
  <c r="AD956" i="3"/>
  <c r="AC956" i="3"/>
  <c r="U955" i="3" l="1"/>
  <c r="Y954" i="3"/>
  <c r="T956" i="3"/>
  <c r="AH956" i="3" s="1"/>
  <c r="AG956" i="3" l="1"/>
  <c r="E956" i="3"/>
  <c r="H956" i="3" s="1"/>
  <c r="K956" i="3" s="1"/>
  <c r="AE956" i="3" s="1"/>
  <c r="D956" i="3"/>
  <c r="V956" i="3" l="1"/>
  <c r="A957" i="3"/>
  <c r="B957" i="3" s="1"/>
  <c r="F956" i="3"/>
  <c r="G956" i="3"/>
  <c r="I956" i="3" l="1"/>
  <c r="W956" i="3" s="1"/>
  <c r="J956" i="3"/>
  <c r="M956" i="3"/>
  <c r="N956" i="3" s="1"/>
  <c r="AA957" i="3"/>
  <c r="AD957" i="3"/>
  <c r="Z957" i="3"/>
  <c r="P957" i="3"/>
  <c r="Q957" i="3" s="1"/>
  <c r="R957" i="3" s="1"/>
  <c r="S957" i="3" s="1"/>
  <c r="AC957" i="3"/>
  <c r="T957" i="3" l="1"/>
  <c r="L956" i="3"/>
  <c r="AG957" i="3" l="1"/>
  <c r="U956" i="3"/>
  <c r="E957" i="3" s="1"/>
  <c r="H957" i="3" s="1"/>
  <c r="AH957" i="3"/>
  <c r="Y955" i="3"/>
  <c r="D957" i="3" l="1"/>
  <c r="G957" i="3" s="1"/>
  <c r="K957" i="3"/>
  <c r="AE957" i="3" s="1"/>
  <c r="F957" i="3" l="1"/>
  <c r="I957" i="3"/>
  <c r="J957" i="3"/>
  <c r="M957" i="3"/>
  <c r="N957" i="3" s="1"/>
  <c r="V957" i="3"/>
  <c r="A958" i="3"/>
  <c r="B958" i="3" s="1"/>
  <c r="W957" i="3" l="1"/>
  <c r="L957" i="3"/>
  <c r="AC958" i="3"/>
  <c r="AA958" i="3"/>
  <c r="P958" i="3"/>
  <c r="Q958" i="3" s="1"/>
  <c r="R958" i="3" s="1"/>
  <c r="S958" i="3" s="1"/>
  <c r="Z958" i="3"/>
  <c r="AD958" i="3"/>
  <c r="T958" i="3" l="1"/>
  <c r="AH958" i="3" s="1"/>
  <c r="U957" i="3"/>
  <c r="Y956" i="3"/>
  <c r="AG958" i="3" l="1"/>
  <c r="D958" i="3"/>
  <c r="E958" i="3"/>
  <c r="H958" i="3" s="1"/>
  <c r="K958" i="3" l="1"/>
  <c r="AE958" i="3" s="1"/>
  <c r="F958" i="3"/>
  <c r="G958" i="3"/>
  <c r="V958" i="3" l="1"/>
  <c r="A959" i="3"/>
  <c r="B959" i="3" s="1"/>
  <c r="I958" i="3"/>
  <c r="J958" i="3"/>
  <c r="M958" i="3"/>
  <c r="N958" i="3" s="1"/>
  <c r="W958" i="3" l="1"/>
  <c r="L958" i="3"/>
  <c r="Z959" i="3"/>
  <c r="AC959" i="3"/>
  <c r="P959" i="3"/>
  <c r="Q959" i="3" s="1"/>
  <c r="R959" i="3" s="1"/>
  <c r="S959" i="3" s="1"/>
  <c r="AA959" i="3"/>
  <c r="AD959" i="3"/>
  <c r="T959" i="3" l="1"/>
  <c r="AH959" i="3" s="1"/>
  <c r="U958" i="3"/>
  <c r="Y957" i="3"/>
  <c r="AG959" i="3" l="1"/>
  <c r="E959" i="3"/>
  <c r="H959" i="3" s="1"/>
  <c r="K959" i="3" s="1"/>
  <c r="AE959" i="3" s="1"/>
  <c r="D959" i="3"/>
  <c r="F959" i="3" l="1"/>
  <c r="G959" i="3"/>
  <c r="V959" i="3"/>
  <c r="A960" i="3"/>
  <c r="B960" i="3" s="1"/>
  <c r="AD960" i="3" l="1"/>
  <c r="Z960" i="3"/>
  <c r="AA960" i="3"/>
  <c r="P960" i="3"/>
  <c r="Q960" i="3" s="1"/>
  <c r="R960" i="3" s="1"/>
  <c r="S960" i="3" s="1"/>
  <c r="AC960" i="3"/>
  <c r="I959" i="3"/>
  <c r="W959" i="3" s="1"/>
  <c r="J959" i="3"/>
  <c r="M959" i="3"/>
  <c r="N959" i="3" s="1"/>
  <c r="T960" i="3" l="1"/>
  <c r="L959" i="3"/>
  <c r="U959" i="3" l="1"/>
  <c r="E960" i="3" s="1"/>
  <c r="H960" i="3" s="1"/>
  <c r="AG960" i="3"/>
  <c r="AH960" i="3"/>
  <c r="Y958" i="3"/>
  <c r="D960" i="3" l="1"/>
  <c r="G960" i="3" s="1"/>
  <c r="K960" i="3"/>
  <c r="AE960" i="3" s="1"/>
  <c r="F960" i="3" l="1"/>
  <c r="I960" i="3"/>
  <c r="J960" i="3"/>
  <c r="M960" i="3"/>
  <c r="N960" i="3" s="1"/>
  <c r="V960" i="3"/>
  <c r="A961" i="3"/>
  <c r="B961" i="3" s="1"/>
  <c r="W960" i="3" l="1"/>
  <c r="P961" i="3"/>
  <c r="Q961" i="3" s="1"/>
  <c r="R961" i="3" s="1"/>
  <c r="S961" i="3" s="1"/>
  <c r="AD961" i="3"/>
  <c r="AC961" i="3"/>
  <c r="Z961" i="3"/>
  <c r="AA961" i="3"/>
  <c r="L960" i="3"/>
  <c r="U960" i="3" l="1"/>
  <c r="Y959" i="3"/>
  <c r="T961" i="3"/>
  <c r="D961" i="3" l="1"/>
  <c r="G961" i="3" s="1"/>
  <c r="AH961" i="3"/>
  <c r="AG961" i="3"/>
  <c r="E961" i="3"/>
  <c r="H961" i="3" s="1"/>
  <c r="K961" i="3" l="1"/>
  <c r="AE961" i="3" s="1"/>
  <c r="I961" i="3"/>
  <c r="J961" i="3"/>
  <c r="M961" i="3"/>
  <c r="N961" i="3" s="1"/>
  <c r="F961" i="3"/>
  <c r="L961" i="3" l="1"/>
  <c r="V961" i="3"/>
  <c r="W961" i="3" s="1"/>
  <c r="A962" i="3"/>
  <c r="B962" i="3" s="1"/>
  <c r="Z962" i="3" l="1"/>
  <c r="AA962" i="3"/>
  <c r="P962" i="3"/>
  <c r="Q962" i="3" s="1"/>
  <c r="R962" i="3" s="1"/>
  <c r="S962" i="3" s="1"/>
  <c r="AC962" i="3"/>
  <c r="AD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AD963" i="3"/>
  <c r="I962" i="3"/>
  <c r="W962" i="3" s="1"/>
  <c r="J962" i="3"/>
  <c r="M962" i="3"/>
  <c r="N962" i="3" s="1"/>
  <c r="T963" i="3" l="1"/>
  <c r="L962" i="3"/>
  <c r="U962" i="3" l="1"/>
  <c r="E963" i="3" s="1"/>
  <c r="H963" i="3" s="1"/>
  <c r="AG963" i="3"/>
  <c r="AH963" i="3"/>
  <c r="Y961" i="3"/>
  <c r="D963" i="3" l="1"/>
  <c r="G963" i="3" s="1"/>
  <c r="K963" i="3"/>
  <c r="AE963" i="3" s="1"/>
  <c r="F963" i="3" l="1"/>
  <c r="I963" i="3"/>
  <c r="J963" i="3"/>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AD968" i="3"/>
  <c r="L967" i="3" l="1"/>
  <c r="T968" i="3"/>
  <c r="AH968" i="3" l="1"/>
  <c r="AG968" i="3"/>
  <c r="U967" i="3"/>
  <c r="E968" i="3" s="1"/>
  <c r="H968" i="3" s="1"/>
  <c r="Y966" i="3"/>
  <c r="K968" i="3" l="1"/>
  <c r="AE968" i="3" s="1"/>
  <c r="D968" i="3"/>
  <c r="V968" i="3" l="1"/>
  <c r="A969" i="3"/>
  <c r="B969" i="3" s="1"/>
  <c r="F968" i="3"/>
  <c r="G968" i="3"/>
  <c r="I968" i="3" l="1"/>
  <c r="W968" i="3" s="1"/>
  <c r="J968" i="3"/>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AD978" i="3"/>
  <c r="Z978" i="3"/>
  <c r="AA978" i="3"/>
  <c r="P978" i="3"/>
  <c r="Q978" i="3" s="1"/>
  <c r="R978" i="3" s="1"/>
  <c r="S978" i="3" s="1"/>
  <c r="T978" i="3" l="1"/>
  <c r="U977" i="3"/>
  <c r="Y976" i="3"/>
  <c r="D978" i="3" l="1"/>
  <c r="G978" i="3" s="1"/>
  <c r="E978" i="3"/>
  <c r="H978" i="3" s="1"/>
  <c r="K978" i="3" s="1"/>
  <c r="AE978" i="3" s="1"/>
  <c r="AH978" i="3"/>
  <c r="AG978" i="3"/>
  <c r="F978" i="3" l="1"/>
  <c r="I978" i="3"/>
  <c r="J978" i="3"/>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D988" i="3"/>
  <c r="AA988" i="3"/>
  <c r="P988" i="3"/>
  <c r="Q988" i="3" s="1"/>
  <c r="R988" i="3" s="1"/>
  <c r="S988" i="3" s="1"/>
  <c r="L987" i="3" l="1"/>
  <c r="T988" i="3"/>
  <c r="AH988" i="3" l="1"/>
  <c r="U987" i="3"/>
  <c r="E988" i="3" s="1"/>
  <c r="H988" i="3" s="1"/>
  <c r="AG988" i="3"/>
  <c r="Y986" i="3"/>
  <c r="D988" i="3" l="1"/>
  <c r="G988" i="3" s="1"/>
  <c r="K988" i="3"/>
  <c r="AE988" i="3" s="1"/>
  <c r="F988" i="3" l="1"/>
  <c r="I988" i="3"/>
  <c r="J988" i="3"/>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D998" i="3"/>
  <c r="AC998" i="3"/>
  <c r="AA998" i="3"/>
  <c r="T998" i="3" l="1"/>
  <c r="AG998" i="3" s="1"/>
  <c r="U997" i="3"/>
  <c r="Y996" i="3"/>
  <c r="E998" i="3" l="1"/>
  <c r="H998" i="3" s="1"/>
  <c r="K998" i="3" s="1"/>
  <c r="AE998" i="3" s="1"/>
  <c r="AH998" i="3"/>
  <c r="D998" i="3"/>
  <c r="V998" i="3" l="1"/>
  <c r="A999" i="3"/>
  <c r="B999" i="3" s="1"/>
  <c r="F998" i="3"/>
  <c r="G998" i="3"/>
  <c r="I998" i="3" l="1"/>
  <c r="W998" i="3" s="1"/>
  <c r="J998" i="3"/>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I43" i="1"/>
  <c r="K43" i="1"/>
  <c r="H27" i="1"/>
  <c r="J31" i="7" s="1"/>
  <c r="L45" i="1"/>
  <c r="M45" i="1"/>
  <c r="K45" i="1"/>
  <c r="H45" i="1"/>
  <c r="I46" i="1"/>
  <c r="H46" i="1"/>
  <c r="J27" i="1"/>
  <c r="D164" i="1" s="1"/>
  <c r="M46" i="1"/>
  <c r="K27" i="1"/>
  <c r="K31" i="7" s="1"/>
  <c r="K24" i="1"/>
  <c r="S26" i="6" s="1"/>
  <c r="L43" i="1"/>
  <c r="L46" i="1"/>
  <c r="I27" i="1"/>
  <c r="B164" i="1" s="1"/>
  <c r="J43" i="1"/>
  <c r="I45" i="1"/>
  <c r="J46" i="1"/>
  <c r="H29" i="1"/>
  <c r="F155" i="1" s="1"/>
  <c r="M31" i="7"/>
  <c r="E121" i="7"/>
  <c r="F121" i="7" s="1"/>
  <c r="H116" i="7"/>
  <c r="H58" i="7"/>
  <c r="E64" i="7"/>
  <c r="F64" i="7" s="1"/>
  <c r="H55" i="7" l="1"/>
  <c r="H112" i="7"/>
  <c r="H53" i="7"/>
  <c r="P32" i="1"/>
  <c r="P33" i="1"/>
  <c r="I67" i="7"/>
  <c r="H43" i="1"/>
  <c r="K46" i="1"/>
  <c r="H47" i="1"/>
  <c r="M47" i="1"/>
  <c r="L47" i="1"/>
  <c r="K47" i="1"/>
  <c r="K29" i="1" s="1"/>
  <c r="M29" i="1" s="1"/>
  <c r="J47" i="1"/>
  <c r="J29" i="1"/>
  <c r="P31"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F22"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H11" i="7"/>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B152" i="1" s="1"/>
  <c r="H115" i="7" l="1"/>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<sst xmlns="http://schemas.openxmlformats.org/spreadsheetml/2006/main" count="1732" uniqueCount="573">
  <si>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</si>
  <si>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</si>
  <si>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</si>
  <si>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</si>
  <si>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</si>
  <si>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</si>
  <si>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</si>
  <si>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</si>
  <si>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</si>
  <si>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</si>
  <si>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</si>
  <si>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</si>
  <si>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</si>
  <si>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</si>
  <si>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</si>
  <si>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</si>
  <si>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</si>
  <si>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</si>
  <si>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</si>
  <si>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</si>
  <si>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</si>
  <si>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</si>
  <si>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</si>
  <si>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</si>
  <si>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</si>
  <si>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</si>
  <si>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</si>
  <si>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</si>
  <si>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</si>
  <si>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</si>
  <si>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</si>
  <si>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</si>
  <si>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</si>
  <si>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</si>
  <si>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</si>
  <si>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</si>
  <si>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</si>
  <si>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</si>
  <si>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</si>
  <si>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</si>
  <si>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</si>
  <si>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</si>
  <si>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</si>
  <si>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</si>
  <si>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</si>
  <si>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</si>
  <si>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</si>
  <si>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</si>
  <si>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</si>
  <si>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</si>
  <si>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</si>
  <si>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</si>
  <si>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</si>
  <si>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</si>
  <si>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</si>
  <si>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</si>
  <si>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</si>
  <si>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</si>
  <si>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</si>
  <si>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</si>
  <si>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</si>
  <si>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</si>
  <si>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</si>
  <si>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</si>
  <si>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</si>
  <si>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</si>
  <si>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</si>
  <si>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</si>
  <si>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</si>
  <si>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</si>
  <si>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</si>
  <si>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</si>
  <si>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</si>
  <si>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</si>
  <si>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</si>
  <si>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</si>
  <si>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</si>
  <si>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</si>
  <si>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</si>
  <si>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</si>
  <si>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</si>
  <si>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</si>
  <si>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</si>
  <si>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</si>
  <si>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</si>
  <si>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</si>
  <si>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</si>
  <si>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</si>
  <si>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</si>
  <si>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</si>
  <si>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</si>
  <si>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</si>
  <si>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</si>
  <si>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</si>
  <si>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</si>
  <si>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</si>
  <si>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</si>
  <si>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</si>
  <si>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</si>
  <si>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</si>
  <si>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</si>
  <si>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</si>
  <si>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</si>
  <si>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</si>
  <si>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</si>
  <si>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</si>
  <si>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</si>
  <si>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</si>
  <si>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</si>
  <si>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</si>
  <si>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</si>
  <si>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</si>
  <si>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</si>
  <si>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</si>
  <si>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</si>
  <si>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</si>
  <si>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</si>
  <si>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</si>
  <si>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</si>
  <si>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</si>
  <si>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</si>
  <si>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</si>
  <si>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</si>
  <si>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</si>
  <si>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</si>
  <si>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</si>
  <si>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</si>
  <si>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</si>
  <si>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</si>
  <si>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</si>
  <si>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</si>
  <si>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</si>
  <si>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</si>
  <si>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</si>
  <si>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</si>
  <si>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</si>
  <si>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</si>
  <si>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</si>
  <si>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</si>
  <si>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</si>
  <si>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</si>
  <si>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</si>
  <si>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</si>
  <si>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</si>
  <si>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</si>
  <si>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</si>
  <si>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</si>
  <si>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</si>
  <si>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</si>
  <si>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</si>
  <si>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</si>
  <si>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</si>
  <si>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</si>
  <si>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</si>
  <si>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</si>
  <si>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</si>
  <si>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</si>
  <si>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</si>
  <si>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</si>
  <si>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</si>
  <si>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</si>
  <si>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</si>
  <si>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</si>
  <si>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</si>
  <si>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</si>
  <si>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</si>
  <si>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</si>
  <si>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</si>
  <si>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</si>
  <si>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</si>
  <si>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</si>
  <si>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</si>
  <si>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</si>
  <si>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</si>
  <si>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</si>
  <si>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</si>
  <si>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</si>
  <si>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</si>
  <si>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</si>
  <si>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</si>
  <si>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</si>
  <si>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</si>
  <si>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</si>
  <si>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</si>
  <si>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</si>
  <si>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</si>
  <si>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</si>
  <si>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</si>
  <si>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</si>
  <si>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</si>
  <si>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</si>
  <si>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</si>
  <si>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</si>
  <si>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</si>
  <si>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</si>
  <si>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</si>
  <si>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</si>
  <si>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</si>
  <si>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</si>
  <si>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</si>
  <si>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</si>
  <si>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</si>
  <si>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</si>
  <si>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</si>
  <si>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</si>
  <si>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</si>
  <si>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</si>
  <si>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</si>
  <si>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</si>
  <si>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</si>
  <si>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</si>
  <si>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</si>
  <si>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</si>
  <si>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</si>
  <si>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</si>
  <si>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</si>
  <si>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</si>
  <si>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</si>
  <si>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</si>
  <si>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</si>
  <si>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</si>
  <si>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</si>
  <si>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</si>
  <si>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</si>
  <si>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</si>
  <si>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</si>
  <si>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</si>
  <si>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</si>
  <si>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</si>
  <si>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</si>
  <si>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</si>
  <si>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</si>
  <si>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</si>
  <si>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</si>
  <si>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</si>
  <si>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</si>
  <si>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</si>
  <si>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</si>
  <si>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</si>
  <si>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</si>
  <si>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</si>
  <si>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</si>
  <si>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</si>
  <si>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</si>
  <si>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</si>
  <si>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</si>
  <si>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</si>
  <si>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</si>
  <si>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</si>
  <si>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</si>
  <si>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</si>
  <si>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</si>
  <si>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</si>
  <si>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</si>
  <si>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</si>
  <si>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</si>
  <si>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</si>
  <si>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</si>
  <si>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</si>
  <si>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</si>
  <si>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</si>
  <si>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</si>
  <si>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</si>
  <si>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</si>
  <si>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</si>
  <si>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</si>
  <si>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</si>
  <si>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</si>
  <si>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</si>
  <si>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</si>
  <si>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</si>
  <si>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</si>
  <si>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</si>
  <si>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</si>
  <si>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</si>
  <si>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</si>
  <si>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</si>
  <si>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</si>
  <si>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</si>
  <si>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</si>
  <si>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</si>
  <si>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</si>
  <si>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</si>
  <si>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</si>
  <si>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</si>
  <si>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</si>
  <si>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</si>
  <si>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</si>
  <si>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</si>
  <si>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</si>
  <si>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</si>
  <si>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</si>
  <si>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</si>
  <si>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</si>
  <si>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</si>
  <si>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</si>
  <si>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</si>
  <si>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</si>
  <si>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</si>
  <si>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</si>
  <si>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</si>
  <si>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</si>
  <si>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</si>
  <si>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</si>
  <si>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</si>
  <si>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</si>
  <si>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</si>
  <si>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</si>
  <si>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</si>
  <si>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</si>
  <si>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</si>
  <si>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</si>
  <si>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</si>
  <si>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</si>
  <si>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</si>
  <si>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</si>
  <si>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</si>
  <si>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</si>
  <si>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</si>
  <si>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</si>
  <si>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</si>
  <si>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</si>
  <si>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</si>
  <si>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</si>
  <si>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</si>
  <si>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</si>
  <si>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</si>
  <si>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</si>
  <si>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</si>
  <si>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</si>
  <si>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</si>
  <si>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</si>
  <si>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</si>
  <si>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</si>
  <si>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</si>
  <si>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</si>
  <si>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</si>
  <si>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</si>
  <si>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</si>
  <si>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</si>
  <si>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</si>
  <si>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</si>
  <si>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</si>
  <si>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</si>
  <si>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</si>
  <si>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</si>
  <si>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</si>
  <si>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</si>
  <si>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</si>
  <si>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</si>
  <si>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</si>
  <si>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</si>
  <si>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</si>
  <si>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</si>
  <si>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</si>
  <si>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</si>
  <si>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</si>
  <si>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</si>
  <si>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</si>
  <si>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</si>
  <si>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</si>
  <si>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</si>
  <si>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</si>
  <si>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</si>
  <si>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</si>
  <si>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</si>
  <si>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</si>
  <si>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</si>
  <si>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</si>
  <si>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</si>
  <si>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</si>
  <si>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</si>
  <si>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</si>
  <si>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</si>
  <si>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</si>
  <si>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</si>
  <si>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</si>
  <si>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</si>
  <si>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</si>
  <si>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</si>
  <si>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</si>
  <si>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</si>
  <si>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</si>
  <si>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</si>
  <si>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</si>
  <si>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</si>
  <si>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</si>
  <si>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</si>
  <si>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</si>
  <si>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</si>
  <si>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</si>
  <si>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</si>
  <si>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</si>
  <si>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</si>
  <si>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</si>
  <si>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</si>
  <si>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</si>
  <si>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</si>
  <si>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</si>
  <si>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</si>
  <si>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</si>
  <si>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</si>
  <si>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</si>
  <si>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</si>
  <si>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</si>
  <si>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</si>
  <si>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</si>
  <si>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</si>
  <si>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</si>
  <si>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</si>
  <si>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</si>
  <si>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</si>
  <si>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</si>
  <si>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</si>
  <si>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</si>
  <si>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</si>
  <si>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</si>
  <si>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</si>
  <si>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</si>
  <si>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</si>
  <si>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</si>
  <si>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</si>
  <si>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</si>
  <si>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</si>
  <si>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</si>
  <si>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</si>
  <si>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</si>
  <si>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</si>
  <si>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</si>
  <si>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</si>
  <si>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</si>
  <si>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</si>
  <si>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</si>
  <si>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</si>
  <si>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</si>
  <si>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</si>
  <si>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</si>
  <si>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</si>
  <si>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</si>
  <si>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</si>
  <si>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</si>
  <si>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</si>
  <si>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</si>
  <si>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</si>
  <si>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</si>
  <si>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</si>
  <si>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</si>
  <si>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</si>
  <si>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</si>
  <si>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</si>
  <si>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</si>
  <si>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</si>
  <si>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</si>
  <si>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</si>
  <si>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</si>
  <si>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</si>
  <si>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</si>
  <si>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</si>
  <si>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</si>
  <si>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</si>
  <si>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</si>
  <si>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</si>
  <si>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</si>
  <si>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</si>
  <si>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</si>
  <si>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</si>
  <si>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</si>
  <si>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</si>
  <si>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</si>
  <si>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</si>
  <si>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</si>
  <si>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</si>
  <si>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</si>
  <si>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</si>
  <si>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</si>
  <si>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</si>
  <si>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</si>
  <si>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</si>
  <si>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</si>
  <si>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</si>
  <si>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</si>
  <si>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</si>
  <si>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</si>
  <si>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</si>
  <si>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</si>
  <si>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</si>
  <si>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</si>
  <si>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</si>
  <si>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</si>
  <si>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</si>
  <si>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</si>
  <si>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</si>
  <si>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</si>
  <si>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</si>
  <si>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</si>
  <si>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</si>
  <si>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</si>
  <si>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</si>
  <si>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</si>
  <si>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</si>
  <si>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</si>
  <si>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</si>
  <si>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</si>
  <si>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</si>
  <si>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</si>
  <si>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</si>
  <si>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</si>
  <si>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</si>
  <si>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</si>
  <si>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</si>
  <si>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</si>
  <si>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</si>
  <si>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</si>
  <si>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</si>
  <si>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</si>
  <si>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</si>
  <si>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</si>
  <si>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</si>
  <si>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</si>
  <si>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</si>
  <si>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</si>
  <si>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</si>
  <si>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</si>
  <si>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</si>
  <si>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</si>
  <si>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</si>
  <si>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</si>
  <si>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</si>
  <si>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</si>
  <si>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</si>
  <si>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</si>
  <si>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</si>
  <si>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</si>
  <si>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</si>
  <si>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</si>
  <si>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</si>
  <si>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</si>
  <si>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</si>
  <si>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</si>
  <si>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</si>
  <si>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</si>
  <si>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</si>
  <si>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</si>
  <si>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</si>
  <si>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</si>
  <si>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</si>
  <si>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</si>
  <si>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</si>
  <si>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</si>
  <si>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</si>
  <si>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</si>
  <si>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</si>
  <si>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</si>
  <si>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</si>
  <si>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</si>
  <si>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</si>
  <si>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</si>
  <si>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</si>
  <si>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</si>
  <si>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</si>
  <si>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</si>
  <si>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</si>
  <si>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</si>
  <si>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</si>
  <si>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</si>
  <si>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</si>
  <si>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Hellfire</t>
  </si>
  <si>
    <t>Acelspace</t>
  </si>
  <si>
    <t>Fusée expérimentale.</t>
  </si>
  <si>
    <t>Parabolique (arrondie)</t>
  </si>
  <si>
    <t>Plusieurs diamètres.</t>
  </si>
  <si>
    <t>Blanc - Corps:Français</t>
  </si>
  <si>
    <t>Rouge/Blanc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</si>
</sst>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0" fontId="45" fillId="0" borderId="83"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166" fontId="2" fillId="17" borderId="46" xfId="0" applyNumberFormat="1" applyFont="1" applyFill="1" applyBorder="1" applyAlignment="1">
      <alignment horizontal="center" vertic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0" borderId="33" xfId="0" applyBorder="1" applyAlignment="1">
      <alignment horizontal="center"/>
    </xf>
    <xf numFmtId="0" fontId="0" fillId="0" borderId="0" xfId="0" applyAlignment="1">
      <alignment horizontal="center"/>
    </xf>
    <xf numFmtId="0" fontId="0" fillId="0" borderId="0" xfId="0"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0" borderId="33" xfId="0" applyBorder="1"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165" fontId="2" fillId="0" borderId="12" xfId="0" applyNumberFormat="1" applyFont="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cellXfs>
  <cellStyles count="3">
    <cellStyle name="Hyperlink"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45</c:v>
                </c:pt>
                <c:pt idx="2">
                  <c:v>45</c:v>
                </c:pt>
                <c:pt idx="3">
                  <c:v>50</c:v>
                </c:pt>
                <c:pt idx="4">
                  <c:v>50</c:v>
                </c:pt>
                <c:pt idx="5">
                  <c:v>50</c:v>
                </c:pt>
                <c:pt idx="6">
                  <c:v>50</c:v>
                </c:pt>
                <c:pt idx="7">
                  <c:v>0</c:v>
                </c:pt>
              </c:numCache>
            </c:numRef>
          </c:xVal>
          <c:yVal>
            <c:numRef>
              <c:f>Stabilito!$C$124:$C$131</c:f>
              <c:numCache>
                <c:formatCode>0</c:formatCode>
                <c:ptCount val="8"/>
                <c:pt idx="0">
                  <c:v>-40</c:v>
                </c:pt>
                <c:pt idx="1">
                  <c:v>-40</c:v>
                </c:pt>
                <c:pt idx="2">
                  <c:v>-40</c:v>
                </c:pt>
                <c:pt idx="3">
                  <c:v>-228</c:v>
                </c:pt>
                <c:pt idx="4">
                  <c:v>-500</c:v>
                </c:pt>
                <c:pt idx="5">
                  <c:v>-550</c:v>
                </c:pt>
                <c:pt idx="6">
                  <c:v>-2195</c:v>
                </c:pt>
                <c:pt idx="7">
                  <c:v>-2195</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50</c:v>
                </c:pt>
                <c:pt idx="1">
                  <c:v>175</c:v>
                </c:pt>
                <c:pt idx="2">
                  <c:v>175</c:v>
                </c:pt>
                <c:pt idx="3">
                  <c:v>50</c:v>
                </c:pt>
                <c:pt idx="4">
                  <c:v>50</c:v>
                </c:pt>
              </c:numCache>
            </c:numRef>
          </c:xVal>
          <c:yVal>
            <c:numRef>
              <c:f>Stabilito!$C$132:$C$136</c:f>
              <c:numCache>
                <c:formatCode>0</c:formatCode>
                <c:ptCount val="5"/>
                <c:pt idx="0">
                  <c:v>-1905</c:v>
                </c:pt>
                <c:pt idx="1">
                  <c:v>-1978</c:v>
                </c:pt>
                <c:pt idx="2">
                  <c:v>-2128</c:v>
                </c:pt>
                <c:pt idx="3">
                  <c:v>-2195</c:v>
                </c:pt>
                <c:pt idx="4">
                  <c:v>-1905</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-45</c:v>
                </c:pt>
                <c:pt idx="2">
                  <c:v>-45</c:v>
                </c:pt>
                <c:pt idx="3">
                  <c:v>-50</c:v>
                </c:pt>
                <c:pt idx="4">
                  <c:v>-50</c:v>
                </c:pt>
                <c:pt idx="5">
                  <c:v>-50</c:v>
                </c:pt>
                <c:pt idx="6">
                  <c:v>-50</c:v>
                </c:pt>
                <c:pt idx="7">
                  <c:v>0</c:v>
                </c:pt>
              </c:numCache>
            </c:numRef>
          </c:xVal>
          <c:yVal>
            <c:numRef>
              <c:f>Stabilito!$C$124:$C$131</c:f>
              <c:numCache>
                <c:formatCode>0</c:formatCode>
                <c:ptCount val="8"/>
                <c:pt idx="0">
                  <c:v>-40</c:v>
                </c:pt>
                <c:pt idx="1">
                  <c:v>-40</c:v>
                </c:pt>
                <c:pt idx="2">
                  <c:v>-40</c:v>
                </c:pt>
                <c:pt idx="3">
                  <c:v>-228</c:v>
                </c:pt>
                <c:pt idx="4">
                  <c:v>-500</c:v>
                </c:pt>
                <c:pt idx="5">
                  <c:v>-550</c:v>
                </c:pt>
                <c:pt idx="6">
                  <c:v>-2195</c:v>
                </c:pt>
                <c:pt idx="7">
                  <c:v>-2195</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-50</c:v>
                </c:pt>
                <c:pt idx="1">
                  <c:v>-175</c:v>
                </c:pt>
                <c:pt idx="2">
                  <c:v>-175</c:v>
                </c:pt>
                <c:pt idx="3">
                  <c:v>-50</c:v>
                </c:pt>
                <c:pt idx="4">
                  <c:v>-50</c:v>
                </c:pt>
              </c:numCache>
            </c:numRef>
          </c:xVal>
          <c:yVal>
            <c:numRef>
              <c:f>Stabilito!$C$132:$C$136</c:f>
              <c:numCache>
                <c:formatCode>0</c:formatCode>
                <c:ptCount val="5"/>
                <c:pt idx="0">
                  <c:v>-1905</c:v>
                </c:pt>
                <c:pt idx="1">
                  <c:v>-1978</c:v>
                </c:pt>
                <c:pt idx="2">
                  <c:v>-2128</c:v>
                </c:pt>
                <c:pt idx="3">
                  <c:v>-2195</c:v>
                </c:pt>
                <c:pt idx="4">
                  <c:v>-1905</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-1314.5732270247586</c:v>
                </c:pt>
                <c:pt idx="1">
                  <c:v>-1238.9941520467835</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112.99069874698588</c:v>
                </c:pt>
                <c:pt idx="2">
                  <c:v>112.99069874698588</c:v>
                </c:pt>
                <c:pt idx="3">
                  <c:v>0</c:v>
                </c:pt>
              </c:numCache>
            </c:numRef>
          </c:xVal>
          <c:yVal>
            <c:numRef>
              <c:f>Stabilito!$C$151:$C$154</c:f>
              <c:numCache>
                <c:formatCode>0</c:formatCode>
                <c:ptCount val="4"/>
                <c:pt idx="0">
                  <c:v>-1764.0810439470758</c:v>
                </c:pt>
                <c:pt idx="1">
                  <c:v>-1764.0810439470758</c:v>
                </c:pt>
                <c:pt idx="2">
                  <c:v>-1764.0810439470758</c:v>
                </c:pt>
                <c:pt idx="3">
                  <c:v>-1764.0810439470758</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731.66666666666663</c:v>
                </c:pt>
                <c:pt idx="1">
                  <c:v>-731.66666666666663</c:v>
                </c:pt>
              </c:numCache>
            </c:numRef>
          </c:xVal>
          <c:yVal>
            <c:numRef>
              <c:f>Stabilito!$C$168:$C$169</c:f>
              <c:numCache>
                <c:formatCode>0</c:formatCode>
                <c:ptCount val="2"/>
                <c:pt idx="0">
                  <c:v>-2216.9499999999998</c:v>
                </c:pt>
                <c:pt idx="1">
                  <c:v>-2216.9499999999998</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-27</c:v>
                </c:pt>
                <c:pt idx="1">
                  <c:v>27</c:v>
                </c:pt>
                <c:pt idx="2">
                  <c:v>27</c:v>
                </c:pt>
                <c:pt idx="3">
                  <c:v>-27</c:v>
                </c:pt>
                <c:pt idx="4">
                  <c:v>-27</c:v>
                </c:pt>
              </c:numCache>
            </c:numRef>
          </c:xVal>
          <c:yVal>
            <c:numRef>
              <c:f>Stabilito!$C$170:$C$174</c:f>
              <c:numCache>
                <c:formatCode>0</c:formatCode>
                <c:ptCount val="5"/>
                <c:pt idx="0">
                  <c:v>-1716</c:v>
                </c:pt>
                <c:pt idx="1">
                  <c:v>-1716</c:v>
                </c:pt>
                <c:pt idx="2">
                  <c:v>-2204</c:v>
                </c:pt>
                <c:pt idx="3">
                  <c:v>-2204</c:v>
                </c:pt>
                <c:pt idx="4">
                  <c:v>-1716</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22.5</c:v>
                </c:pt>
                <c:pt idx="2">
                  <c:v>31.499999999999996</c:v>
                </c:pt>
                <c:pt idx="3">
                  <c:v>39.6</c:v>
                </c:pt>
                <c:pt idx="4">
                  <c:v>42.75</c:v>
                </c:pt>
                <c:pt idx="5">
                  <c:v>45</c:v>
                </c:pt>
              </c:numCache>
            </c:numRef>
          </c:xVal>
          <c:yVal>
            <c:numRef>
              <c:f>Stabilito!$C$175:$C$180</c:f>
              <c:numCache>
                <c:formatCode>0</c:formatCode>
                <c:ptCount val="6"/>
                <c:pt idx="0">
                  <c:v>0</c:v>
                </c:pt>
                <c:pt idx="1">
                  <c:v>-4</c:v>
                </c:pt>
                <c:pt idx="2">
                  <c:v>-10</c:v>
                </c:pt>
                <c:pt idx="3">
                  <c:v>-20</c:v>
                </c:pt>
                <c:pt idx="4">
                  <c:v>-30</c:v>
                </c:pt>
                <c:pt idx="5">
                  <c:v>-40</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-22.5</c:v>
                </c:pt>
                <c:pt idx="2">
                  <c:v>-31.499999999999996</c:v>
                </c:pt>
                <c:pt idx="3">
                  <c:v>-39.6</c:v>
                </c:pt>
                <c:pt idx="4">
                  <c:v>-42.75</c:v>
                </c:pt>
                <c:pt idx="5">
                  <c:v>-45</c:v>
                </c:pt>
              </c:numCache>
            </c:numRef>
          </c:xVal>
          <c:yVal>
            <c:numRef>
              <c:f>Stabilito!$C$175:$C$180</c:f>
              <c:numCache>
                <c:formatCode>0</c:formatCode>
                <c:ptCount val="6"/>
                <c:pt idx="0">
                  <c:v>0</c:v>
                </c:pt>
                <c:pt idx="1">
                  <c:v>-4</c:v>
                </c:pt>
                <c:pt idx="2">
                  <c:v>-10</c:v>
                </c:pt>
                <c:pt idx="3">
                  <c:v>-20</c:v>
                </c:pt>
                <c:pt idx="4">
                  <c:v>-30</c:v>
                </c:pt>
                <c:pt idx="5">
                  <c:v>-40</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-175</c:v>
                </c:pt>
                <c:pt idx="1">
                  <c:v>-112.5</c:v>
                </c:pt>
                <c:pt idx="2">
                  <c:v>-50</c:v>
                </c:pt>
              </c:numCache>
            </c:numRef>
          </c:xVal>
          <c:yVal>
            <c:numRef>
              <c:f>Stabilito!$C$137:$C$139</c:f>
              <c:numCache>
                <c:formatCode>0</c:formatCode>
                <c:ptCount val="3"/>
                <c:pt idx="0">
                  <c:v>-2268.1666666666665</c:v>
                </c:pt>
                <c:pt idx="1">
                  <c:v>-2268.1666666666665</c:v>
                </c:pt>
                <c:pt idx="2">
                  <c:v>-2268.1666666666665</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-248.16666666666669</c:v>
                </c:pt>
                <c:pt idx="1">
                  <c:v>-248.16666666666669</c:v>
                </c:pt>
                <c:pt idx="2">
                  <c:v>-248.16666666666669</c:v>
                </c:pt>
              </c:numCache>
            </c:numRef>
          </c:xVal>
          <c:yVal>
            <c:numRef>
              <c:f>Stabilito!$C$143:$C$145</c:f>
              <c:numCache>
                <c:formatCode>0</c:formatCode>
                <c:ptCount val="3"/>
                <c:pt idx="0">
                  <c:v>-1905</c:v>
                </c:pt>
                <c:pt idx="1">
                  <c:v>-1941.5</c:v>
                </c:pt>
                <c:pt idx="2">
                  <c:v>-1978</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-284.75</c:v>
                </c:pt>
                <c:pt idx="1">
                  <c:v>-284.75</c:v>
                </c:pt>
                <c:pt idx="2">
                  <c:v>-284.75</c:v>
                </c:pt>
              </c:numCache>
            </c:numRef>
          </c:xVal>
          <c:yVal>
            <c:numRef>
              <c:f>Stabilito!$C$146:$C$148</c:f>
              <c:numCache>
                <c:formatCode>0</c:formatCode>
                <c:ptCount val="3"/>
                <c:pt idx="0">
                  <c:v>-1978</c:v>
                </c:pt>
                <c:pt idx="1">
                  <c:v>-2053</c:v>
                </c:pt>
                <c:pt idx="2">
                  <c:v>-2128</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284.75</c:v>
                </c:pt>
                <c:pt idx="1">
                  <c:v>284.75</c:v>
                </c:pt>
                <c:pt idx="2">
                  <c:v>284.75</c:v>
                </c:pt>
              </c:numCache>
            </c:numRef>
          </c:xVal>
          <c:yVal>
            <c:numRef>
              <c:f>Stabilito!$C$140:$C$142</c:f>
              <c:numCache>
                <c:formatCode>0</c:formatCode>
                <c:ptCount val="3"/>
                <c:pt idx="0">
                  <c:v>-1905</c:v>
                </c:pt>
                <c:pt idx="1">
                  <c:v>-2050</c:v>
                </c:pt>
                <c:pt idx="2">
                  <c:v>-2195</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-284.75</c:v>
                </c:pt>
                <c:pt idx="1">
                  <c:v>-284.75</c:v>
                </c:pt>
                <c:pt idx="2">
                  <c:v>-284.75</c:v>
                </c:pt>
              </c:numCache>
            </c:numRef>
          </c:xVal>
          <c:yVal>
            <c:numRef>
              <c:f>Stabilito!$C$155:$C$157</c:f>
              <c:numCache>
                <c:formatCode>0</c:formatCode>
                <c:ptCount val="3"/>
                <c:pt idx="0">
                  <c:v>-1276.7836895357709</c:v>
                </c:pt>
                <c:pt idx="1">
                  <c:v>-1520.4323667414233</c:v>
                </c:pt>
                <c:pt idx="2">
                  <c:v>-1764.0810439470758</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3.6070000000000002</c:v>
                </c:pt>
                <c:pt idx="2">
                  <c:v>5.5819999999999999</c:v>
                </c:pt>
                <c:pt idx="3">
                  <c:v>7.5570000000000004</c:v>
                </c:pt>
                <c:pt idx="4">
                  <c:v>9.532</c:v>
                </c:pt>
                <c:pt idx="5">
                  <c:v>11.507</c:v>
                </c:pt>
                <c:pt idx="6">
                  <c:v>13.482000000000001</c:v>
                </c:pt>
                <c:pt idx="7">
                  <c:v>15.457000000000001</c:v>
                </c:pt>
                <c:pt idx="8">
                  <c:v>17.432000000000002</c:v>
                </c:pt>
              </c:numCache>
            </c:numRef>
          </c:xVal>
          <c:yVal>
            <c:numRef>
              <c:f>Abaco!$K$43:$K$51</c:f>
              <c:numCache>
                <c:formatCode>General" m/s"</c:formatCode>
                <c:ptCount val="9"/>
                <c:pt idx="0">
                  <c:v>1002.4406316061013</c:v>
                </c:pt>
                <c:pt idx="1">
                  <c:v>563.15317590625011</c:v>
                </c:pt>
                <c:pt idx="2">
                  <c:v>361.11503482577768</c:v>
                </c:pt>
                <c:pt idx="3">
                  <c:v>260.67979777665494</c:v>
                </c:pt>
                <c:pt idx="4">
                  <c:v>201.81144002758936</c:v>
                </c:pt>
                <c:pt idx="5">
                  <c:v>163.36068804019123</c:v>
                </c:pt>
                <c:pt idx="6">
                  <c:v>136.34055921215935</c:v>
                </c:pt>
                <c:pt idx="7">
                  <c:v>116.33689312521123</c:v>
                </c:pt>
                <c:pt idx="8">
                  <c:v>100.94051921062774</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100 mm</c:v>
                </c:pt>
              </c:strCache>
            </c:strRef>
          </c:tx>
          <c:xVal>
            <c:numRef>
              <c:f>Abaco!$D$52:$D$60</c:f>
              <c:numCache>
                <c:formatCode>General\ "kg"</c:formatCode>
                <c:ptCount val="9"/>
                <c:pt idx="0">
                  <c:v>1.6319999999999999</c:v>
                </c:pt>
                <c:pt idx="1">
                  <c:v>3.6070000000000002</c:v>
                </c:pt>
                <c:pt idx="2">
                  <c:v>5.5819999999999999</c:v>
                </c:pt>
                <c:pt idx="3">
                  <c:v>7.5570000000000004</c:v>
                </c:pt>
                <c:pt idx="4">
                  <c:v>9.532</c:v>
                </c:pt>
                <c:pt idx="5">
                  <c:v>11.507</c:v>
                </c:pt>
                <c:pt idx="6">
                  <c:v>13.482000000000001</c:v>
                </c:pt>
                <c:pt idx="7">
                  <c:v>15.457000000000001</c:v>
                </c:pt>
                <c:pt idx="8">
                  <c:v>17.432000000000002</c:v>
                </c:pt>
              </c:numCache>
            </c:numRef>
          </c:xVal>
          <c:yVal>
            <c:numRef>
              <c:f>Abaco!$K$52:$K$60</c:f>
              <c:numCache>
                <c:formatCode>General" m/s"</c:formatCode>
                <c:ptCount val="9"/>
                <c:pt idx="0">
                  <c:v>584.78447067639161</c:v>
                </c:pt>
                <c:pt idx="1">
                  <c:v>460.58847833172933</c:v>
                </c:pt>
                <c:pt idx="2">
                  <c:v>330.52867836763897</c:v>
                </c:pt>
                <c:pt idx="3">
                  <c:v>248.51181291239615</c:v>
                </c:pt>
                <c:pt idx="4">
                  <c:v>195.96350488168471</c:v>
                </c:pt>
                <c:pt idx="5">
                  <c:v>160.17334312314071</c:v>
                </c:pt>
                <c:pt idx="6">
                  <c:v>134.44311356521487</c:v>
                </c:pt>
                <c:pt idx="7">
                  <c:v>115.1317459450506</c:v>
                </c:pt>
                <c:pt idx="8">
                  <c:v>100.13636134132689</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150 mm</c:v>
                </c:pt>
              </c:strCache>
            </c:strRef>
          </c:tx>
          <c:xVal>
            <c:numRef>
              <c:f>Abaco!$D$61:$D$69</c:f>
              <c:numCache>
                <c:formatCode>General\ "kg"</c:formatCode>
                <c:ptCount val="9"/>
                <c:pt idx="0">
                  <c:v>1.6319999999999999</c:v>
                </c:pt>
                <c:pt idx="1">
                  <c:v>3.6070000000000002</c:v>
                </c:pt>
                <c:pt idx="2">
                  <c:v>5.5819999999999999</c:v>
                </c:pt>
                <c:pt idx="3">
                  <c:v>7.5570000000000004</c:v>
                </c:pt>
                <c:pt idx="4">
                  <c:v>9.532</c:v>
                </c:pt>
                <c:pt idx="5">
                  <c:v>11.507</c:v>
                </c:pt>
                <c:pt idx="6">
                  <c:v>13.482000000000001</c:v>
                </c:pt>
                <c:pt idx="7">
                  <c:v>15.457000000000001</c:v>
                </c:pt>
                <c:pt idx="8">
                  <c:v>17.432000000000002</c:v>
                </c:pt>
              </c:numCache>
            </c:numRef>
          </c:xVal>
          <c:yVal>
            <c:numRef>
              <c:f>Abaco!$K$61:$K$69</c:f>
              <c:numCache>
                <c:formatCode>General" m/s"</c:formatCode>
                <c:ptCount val="9"/>
                <c:pt idx="0">
                  <c:v>391.8854912907172</c:v>
                </c:pt>
                <c:pt idx="1">
                  <c:v>358.66992216340913</c:v>
                </c:pt>
                <c:pt idx="2">
                  <c:v>289.42800585759971</c:v>
                </c:pt>
                <c:pt idx="3">
                  <c:v>230.068149845666</c:v>
                </c:pt>
                <c:pt idx="4">
                  <c:v>186.57949500993547</c:v>
                </c:pt>
                <c:pt idx="5">
                  <c:v>154.89881382416033</c:v>
                </c:pt>
                <c:pt idx="6">
                  <c:v>131.24517145366011</c:v>
                </c:pt>
                <c:pt idx="7">
                  <c:v>113.07673514242174</c:v>
                </c:pt>
                <c:pt idx="8">
                  <c:v>98.754275675633039</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3.6070000000000002</c:v>
                </c:pt>
                <c:pt idx="2">
                  <c:v>5.5819999999999999</c:v>
                </c:pt>
                <c:pt idx="3">
                  <c:v>7.5570000000000004</c:v>
                </c:pt>
                <c:pt idx="4">
                  <c:v>9.532</c:v>
                </c:pt>
                <c:pt idx="5">
                  <c:v>11.507</c:v>
                </c:pt>
                <c:pt idx="6">
                  <c:v>13.482000000000001</c:v>
                </c:pt>
                <c:pt idx="7">
                  <c:v>15.457000000000001</c:v>
                </c:pt>
                <c:pt idx="8">
                  <c:v>17.432000000000002</c:v>
                </c:pt>
              </c:numCache>
            </c:numRef>
          </c:xVal>
          <c:yVal>
            <c:numRef>
              <c:f>Abaco!$L$43:$L$51</c:f>
              <c:numCache>
                <c:formatCode>General" m"</c:formatCode>
                <c:ptCount val="9"/>
                <c:pt idx="0">
                  <c:v>2763.5913417554384</c:v>
                </c:pt>
                <c:pt idx="1">
                  <c:v>3941.6824825404242</c:v>
                </c:pt>
                <c:pt idx="2">
                  <c:v>3463.1422683490391</c:v>
                </c:pt>
                <c:pt idx="3">
                  <c:v>2601.7853649238514</c:v>
                </c:pt>
                <c:pt idx="4">
                  <c:v>1870.010649398522</c:v>
                </c:pt>
                <c:pt idx="5">
                  <c:v>1351.583943337833</c:v>
                </c:pt>
                <c:pt idx="6">
                  <c:v>999.45262542184219</c:v>
                </c:pt>
                <c:pt idx="7">
                  <c:v>758.52322128593767</c:v>
                </c:pt>
                <c:pt idx="8">
                  <c:v>589.79589701759937</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100 mm</c:v>
                </c:pt>
              </c:strCache>
            </c:strRef>
          </c:tx>
          <c:xVal>
            <c:numRef>
              <c:f>Abaco!$D$52:$D$60</c:f>
              <c:numCache>
                <c:formatCode>General\ "kg"</c:formatCode>
                <c:ptCount val="9"/>
                <c:pt idx="0">
                  <c:v>1.6319999999999999</c:v>
                </c:pt>
                <c:pt idx="1">
                  <c:v>3.6070000000000002</c:v>
                </c:pt>
                <c:pt idx="2">
                  <c:v>5.5819999999999999</c:v>
                </c:pt>
                <c:pt idx="3">
                  <c:v>7.5570000000000004</c:v>
                </c:pt>
                <c:pt idx="4">
                  <c:v>9.532</c:v>
                </c:pt>
                <c:pt idx="5">
                  <c:v>11.507</c:v>
                </c:pt>
                <c:pt idx="6">
                  <c:v>13.482000000000001</c:v>
                </c:pt>
                <c:pt idx="7">
                  <c:v>15.457000000000001</c:v>
                </c:pt>
                <c:pt idx="8">
                  <c:v>17.432000000000002</c:v>
                </c:pt>
              </c:numCache>
            </c:numRef>
          </c:xVal>
          <c:yVal>
            <c:numRef>
              <c:f>Abaco!$L$52:$L$60</c:f>
              <c:numCache>
                <c:formatCode>General" m"</c:formatCode>
                <c:ptCount val="9"/>
                <c:pt idx="0">
                  <c:v>1267.6998729939087</c:v>
                </c:pt>
                <c:pt idx="1">
                  <c:v>1761.4991123412567</c:v>
                </c:pt>
                <c:pt idx="2">
                  <c:v>1811.4216481154042</c:v>
                </c:pt>
                <c:pt idx="3">
                  <c:v>1625.1596448032601</c:v>
                </c:pt>
                <c:pt idx="4">
                  <c:v>1354.3444830088661</c:v>
                </c:pt>
                <c:pt idx="5">
                  <c:v>1088.2039663605233</c:v>
                </c:pt>
                <c:pt idx="6">
                  <c:v>863.45500749479891</c:v>
                </c:pt>
                <c:pt idx="7">
                  <c:v>686.05568013194841</c:v>
                </c:pt>
                <c:pt idx="8">
                  <c:v>549.65958243079069</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150 mm</c:v>
                </c:pt>
              </c:strCache>
            </c:strRef>
          </c:tx>
          <c:xVal>
            <c:numRef>
              <c:f>Abaco!$D$61:$D$69</c:f>
              <c:numCache>
                <c:formatCode>General\ "kg"</c:formatCode>
                <c:ptCount val="9"/>
                <c:pt idx="0">
                  <c:v>1.6319999999999999</c:v>
                </c:pt>
                <c:pt idx="1">
                  <c:v>3.6070000000000002</c:v>
                </c:pt>
                <c:pt idx="2">
                  <c:v>5.5819999999999999</c:v>
                </c:pt>
                <c:pt idx="3">
                  <c:v>7.5570000000000004</c:v>
                </c:pt>
                <c:pt idx="4">
                  <c:v>9.532</c:v>
                </c:pt>
                <c:pt idx="5">
                  <c:v>11.507</c:v>
                </c:pt>
                <c:pt idx="6">
                  <c:v>13.482000000000001</c:v>
                </c:pt>
                <c:pt idx="7">
                  <c:v>15.457000000000001</c:v>
                </c:pt>
                <c:pt idx="8">
                  <c:v>17.432000000000002</c:v>
                </c:pt>
              </c:numCache>
            </c:numRef>
          </c:xVal>
          <c:yVal>
            <c:numRef>
              <c:f>Abaco!$L$61:$L$69</c:f>
              <c:numCache>
                <c:formatCode>General" m"</c:formatCode>
                <c:ptCount val="9"/>
                <c:pt idx="0">
                  <c:v>785.60688383911724</c:v>
                </c:pt>
                <c:pt idx="1">
                  <c:v>1025.94624624726</c:v>
                </c:pt>
                <c:pt idx="2">
                  <c:v>1102.2010411154924</c:v>
                </c:pt>
                <c:pt idx="3">
                  <c:v>1067.5920499359252</c:v>
                </c:pt>
                <c:pt idx="4">
                  <c:v>968.1014136198296</c:v>
                </c:pt>
                <c:pt idx="5">
                  <c:v>841.05425373269156</c:v>
                </c:pt>
                <c:pt idx="6">
                  <c:v>711.90308588761036</c:v>
                </c:pt>
                <c:pt idx="7">
                  <c:v>594.53772054131559</c:v>
                </c:pt>
                <c:pt idx="8">
                  <c:v>494.2466906656382</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54 mm</c:v>
                </c:pt>
              </c:strCache>
            </c:strRef>
          </c:tx>
          <c:xVal>
            <c:numRef>
              <c:f>Abaco!$D$43:$D$51</c:f>
              <c:numCache>
                <c:formatCode>General\ "kg"</c:formatCode>
                <c:ptCount val="9"/>
                <c:pt idx="0">
                  <c:v>1.6319999999999999</c:v>
                </c:pt>
                <c:pt idx="1">
                  <c:v>3.6070000000000002</c:v>
                </c:pt>
                <c:pt idx="2">
                  <c:v>5.5819999999999999</c:v>
                </c:pt>
                <c:pt idx="3">
                  <c:v>7.5570000000000004</c:v>
                </c:pt>
                <c:pt idx="4">
                  <c:v>9.532</c:v>
                </c:pt>
                <c:pt idx="5">
                  <c:v>11.507</c:v>
                </c:pt>
                <c:pt idx="6">
                  <c:v>13.482000000000001</c:v>
                </c:pt>
                <c:pt idx="7">
                  <c:v>15.457000000000001</c:v>
                </c:pt>
                <c:pt idx="8">
                  <c:v>17.432000000000002</c:v>
                </c:pt>
              </c:numCache>
            </c:numRef>
          </c:xVal>
          <c:yVal>
            <c:numRef>
              <c:f>Abaco!$M$43:$M$51</c:f>
              <c:numCache>
                <c:formatCode>General" s"</c:formatCode>
                <c:ptCount val="9"/>
                <c:pt idx="0">
                  <c:v>13.944383064217877</c:v>
                </c:pt>
                <c:pt idx="1">
                  <c:v>23.008096042969171</c:v>
                </c:pt>
                <c:pt idx="2">
                  <c:v>24.318833313866634</c:v>
                </c:pt>
                <c:pt idx="3">
                  <c:v>22.440839031814708</c:v>
                </c:pt>
                <c:pt idx="4">
                  <c:v>19.704457053367843</c:v>
                </c:pt>
                <c:pt idx="5">
                  <c:v>17.125686168862121</c:v>
                </c:pt>
                <c:pt idx="6">
                  <c:v>14.964251038061555</c:v>
                </c:pt>
                <c:pt idx="7">
                  <c:v>13.208529296665432</c:v>
                </c:pt>
                <c:pt idx="8">
                  <c:v>11.784485401490043</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100 mm</c:v>
                </c:pt>
              </c:strCache>
            </c:strRef>
          </c:tx>
          <c:xVal>
            <c:numRef>
              <c:f>Abaco!$D$52:$D$60</c:f>
              <c:numCache>
                <c:formatCode>General\ "kg"</c:formatCode>
                <c:ptCount val="9"/>
                <c:pt idx="0">
                  <c:v>1.6319999999999999</c:v>
                </c:pt>
                <c:pt idx="1">
                  <c:v>3.6070000000000002</c:v>
                </c:pt>
                <c:pt idx="2">
                  <c:v>5.5819999999999999</c:v>
                </c:pt>
                <c:pt idx="3">
                  <c:v>7.5570000000000004</c:v>
                </c:pt>
                <c:pt idx="4">
                  <c:v>9.532</c:v>
                </c:pt>
                <c:pt idx="5">
                  <c:v>11.507</c:v>
                </c:pt>
                <c:pt idx="6">
                  <c:v>13.482000000000001</c:v>
                </c:pt>
                <c:pt idx="7">
                  <c:v>15.457000000000001</c:v>
                </c:pt>
                <c:pt idx="8">
                  <c:v>17.432000000000002</c:v>
                </c:pt>
              </c:numCache>
            </c:numRef>
          </c:xVal>
          <c:yVal>
            <c:numRef>
              <c:f>Abaco!$M$52:$M$60</c:f>
              <c:numCache>
                <c:formatCode>General" s"</c:formatCode>
                <c:ptCount val="9"/>
                <c:pt idx="0">
                  <c:v>8.3383138307782101</c:v>
                </c:pt>
                <c:pt idx="1">
                  <c:v>14.029850368851879</c:v>
                </c:pt>
                <c:pt idx="2">
                  <c:v>16.260699138386499</c:v>
                </c:pt>
                <c:pt idx="3">
                  <c:v>16.692041278010564</c:v>
                </c:pt>
                <c:pt idx="4">
                  <c:v>16.063183227233612</c:v>
                </c:pt>
                <c:pt idx="5">
                  <c:v>14.924666175503377</c:v>
                </c:pt>
                <c:pt idx="6">
                  <c:v>13.639036477492017</c:v>
                </c:pt>
                <c:pt idx="7">
                  <c:v>12.396449490656179</c:v>
                </c:pt>
                <c:pt idx="8">
                  <c:v>11.273517533902577</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150 mm</c:v>
                </c:pt>
              </c:strCache>
            </c:strRef>
          </c:tx>
          <c:xVal>
            <c:numRef>
              <c:f>Abaco!$D$61:$D$69</c:f>
              <c:numCache>
                <c:formatCode>General\ "kg"</c:formatCode>
                <c:ptCount val="9"/>
                <c:pt idx="0">
                  <c:v>1.6319999999999999</c:v>
                </c:pt>
                <c:pt idx="1">
                  <c:v>3.6070000000000002</c:v>
                </c:pt>
                <c:pt idx="2">
                  <c:v>5.5819999999999999</c:v>
                </c:pt>
                <c:pt idx="3">
                  <c:v>7.5570000000000004</c:v>
                </c:pt>
                <c:pt idx="4">
                  <c:v>9.532</c:v>
                </c:pt>
                <c:pt idx="5">
                  <c:v>11.507</c:v>
                </c:pt>
                <c:pt idx="6">
                  <c:v>13.482000000000001</c:v>
                </c:pt>
                <c:pt idx="7">
                  <c:v>15.457000000000001</c:v>
                </c:pt>
                <c:pt idx="8">
                  <c:v>17.432000000000002</c:v>
                </c:pt>
              </c:numCache>
            </c:numRef>
          </c:xVal>
          <c:yVal>
            <c:numRef>
              <c:f>Abaco!$M$61:$M$69</c:f>
              <c:numCache>
                <c:formatCode>General" s"</c:formatCode>
                <c:ptCount val="9"/>
                <c:pt idx="0">
                  <c:v>6.1266757557450582</c:v>
                </c:pt>
                <c:pt idx="1">
                  <c:v>10.07736238141884</c:v>
                </c:pt>
                <c:pt idx="2">
                  <c:v>12.007378305283352</c:v>
                </c:pt>
                <c:pt idx="3">
                  <c:v>12.886668575369535</c:v>
                </c:pt>
                <c:pt idx="4">
                  <c:v>13.040213121618818</c:v>
                </c:pt>
                <c:pt idx="5">
                  <c:v>12.706981755468616</c:v>
                </c:pt>
                <c:pt idx="6">
                  <c:v>12.087265164226094</c:v>
                </c:pt>
                <c:pt idx="7">
                  <c:v>11.334412873599913</c:v>
                </c:pt>
                <c:pt idx="8">
                  <c:v>10.55015973734003</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4.4950781692231727</c:v>
                </c:pt>
                <c:pt idx="1">
                  <c:v>4.4950781692231727</c:v>
                </c:pt>
                <c:pt idx="2">
                  <c:v>5.2508689190029232</c:v>
                </c:pt>
                <c:pt idx="3">
                  <c:v>5.2508689190029232</c:v>
                </c:pt>
              </c:numCache>
            </c:numRef>
          </c:xVal>
          <c:yVal>
            <c:numRef>
              <c:f>Stabilito!$C$190:$C$193</c:f>
              <c:numCache>
                <c:formatCode>0.00</c:formatCode>
                <c:ptCount val="4"/>
                <c:pt idx="0">
                  <c:v>16.948604812047883</c:v>
                </c:pt>
                <c:pt idx="1">
                  <c:v>16.948604812047883</c:v>
                </c:pt>
                <c:pt idx="2">
                  <c:v>16.948604812047883</c:v>
                </c:pt>
                <c:pt idx="3">
                  <c:v>16.948604812047883</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5.2508689190029232</c:v>
                </c:pt>
                <c:pt idx="1">
                  <c:v>4.4950781692231727</c:v>
                </c:pt>
              </c:numCache>
            </c:numRef>
          </c:xVal>
          <c:yVal>
            <c:numRef>
              <c:f>Stabilito!$C$193:$C$194</c:f>
              <c:numCache>
                <c:formatCode>0.00</c:formatCode>
                <c:ptCount val="2"/>
                <c:pt idx="0">
                  <c:v>16.948604812047883</c:v>
                </c:pt>
                <c:pt idx="1">
                  <c:v>16.948604812047883</c:v>
                </c:pt>
              </c:numCache>
            </c:numRef>
          </c:yVal>
          <c:smooth val="0"/>
          <c:extLst>
            <c:ext xmlns:c16="http://schemas.microsoft.com/office/drawing/2014/chart" uri="{C3380CC4-5D6E-409C-BE32-E72D297353CC}">
              <c16:uniqueId val="{0000000B-DD97-4068-951F-4990D529CDCA}"/>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1273.1404284248381</c:v>
                </c:pt>
              </c:numCache>
            </c:numRef>
          </c:xVal>
          <c:yVal>
            <c:numRef>
              <c:f>Trajecto!$C$121</c:f>
              <c:numCache>
                <c:formatCode>0</c:formatCode>
                <c:ptCount val="1"/>
                <c:pt idx="0">
                  <c:v>1273.1404284248381</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11.731229715741472</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46.187407237257389</c:v>
                </c:pt>
                <c:pt idx="201">
                  <c:v>#N/A</c:v>
                </c:pt>
                <c:pt idx="202">
                  <c:v>#N/A</c:v>
                </c:pt>
                <c:pt idx="203">
                  <c:v>#N/A</c:v>
                </c:pt>
                <c:pt idx="204">
                  <c:v>#N/A</c:v>
                </c:pt>
                <c:pt idx="205">
                  <c:v>#N/A</c:v>
                </c:pt>
                <c:pt idx="206">
                  <c:v>#N/A</c:v>
                </c:pt>
                <c:pt idx="207">
                  <c:v>#N/A</c:v>
                </c:pt>
                <c:pt idx="208">
                  <c:v>#N/A</c:v>
                </c:pt>
                <c:pt idx="209">
                  <c:v>#N/A</c:v>
                </c:pt>
                <c:pt idx="210">
                  <c:v>82.567548894350011</c:v>
                </c:pt>
                <c:pt idx="211">
                  <c:v>#N/A</c:v>
                </c:pt>
                <c:pt idx="212">
                  <c:v>#N/A</c:v>
                </c:pt>
                <c:pt idx="213">
                  <c:v>#N/A</c:v>
                </c:pt>
                <c:pt idx="214">
                  <c:v>#N/A</c:v>
                </c:pt>
                <c:pt idx="215">
                  <c:v>#N/A</c:v>
                </c:pt>
                <c:pt idx="216">
                  <c:v>#N/A</c:v>
                </c:pt>
                <c:pt idx="217">
                  <c:v>#N/A</c:v>
                </c:pt>
                <c:pt idx="218">
                  <c:v>#N/A</c:v>
                </c:pt>
                <c:pt idx="219">
                  <c:v>#N/A</c:v>
                </c:pt>
                <c:pt idx="220">
                  <c:v>116.46317997931985</c:v>
                </c:pt>
                <c:pt idx="221">
                  <c:v>#N/A</c:v>
                </c:pt>
                <c:pt idx="222">
                  <c:v>#N/A</c:v>
                </c:pt>
                <c:pt idx="223">
                  <c:v>#N/A</c:v>
                </c:pt>
                <c:pt idx="224">
                  <c:v>#N/A</c:v>
                </c:pt>
                <c:pt idx="225">
                  <c:v>#N/A</c:v>
                </c:pt>
                <c:pt idx="226">
                  <c:v>#N/A</c:v>
                </c:pt>
                <c:pt idx="227">
                  <c:v>#N/A</c:v>
                </c:pt>
                <c:pt idx="228">
                  <c:v>#N/A</c:v>
                </c:pt>
                <c:pt idx="229">
                  <c:v>#N/A</c:v>
                </c:pt>
                <c:pt idx="230">
                  <c:v>148.34571708068145</c:v>
                </c:pt>
                <c:pt idx="231">
                  <c:v>#N/A</c:v>
                </c:pt>
                <c:pt idx="232">
                  <c:v>#N/A</c:v>
                </c:pt>
                <c:pt idx="233">
                  <c:v>#N/A</c:v>
                </c:pt>
                <c:pt idx="234">
                  <c:v>#N/A</c:v>
                </c:pt>
                <c:pt idx="235">
                  <c:v>#N/A</c:v>
                </c:pt>
                <c:pt idx="236">
                  <c:v>#N/A</c:v>
                </c:pt>
                <c:pt idx="237">
                  <c:v>#N/A</c:v>
                </c:pt>
                <c:pt idx="238">
                  <c:v>#N/A</c:v>
                </c:pt>
                <c:pt idx="239">
                  <c:v>#N/A</c:v>
                </c:pt>
                <c:pt idx="240">
                  <c:v>178.57834907767469</c:v>
                </c:pt>
                <c:pt idx="241">
                  <c:v>#N/A</c:v>
                </c:pt>
                <c:pt idx="242">
                  <c:v>#N/A</c:v>
                </c:pt>
                <c:pt idx="243">
                  <c:v>#N/A</c:v>
                </c:pt>
                <c:pt idx="244">
                  <c:v>#N/A</c:v>
                </c:pt>
                <c:pt idx="245">
                  <c:v>#N/A</c:v>
                </c:pt>
                <c:pt idx="246">
                  <c:v>#N/A</c:v>
                </c:pt>
                <c:pt idx="247">
                  <c:v>#N/A</c:v>
                </c:pt>
                <c:pt idx="248">
                  <c:v>#N/A</c:v>
                </c:pt>
                <c:pt idx="249">
                  <c:v>#N/A</c:v>
                </c:pt>
                <c:pt idx="250">
                  <c:v>207.44834213328508</c:v>
                </c:pt>
                <c:pt idx="251">
                  <c:v>#N/A</c:v>
                </c:pt>
                <c:pt idx="252">
                  <c:v>#N/A</c:v>
                </c:pt>
                <c:pt idx="253">
                  <c:v>#N/A</c:v>
                </c:pt>
                <c:pt idx="254">
                  <c:v>#N/A</c:v>
                </c:pt>
                <c:pt idx="255">
                  <c:v>#N/A</c:v>
                </c:pt>
                <c:pt idx="256">
                  <c:v>#N/A</c:v>
                </c:pt>
                <c:pt idx="257">
                  <c:v>#N/A</c:v>
                </c:pt>
                <c:pt idx="258">
                  <c:v>#N/A</c:v>
                </c:pt>
                <c:pt idx="259">
                  <c:v>#N/A</c:v>
                </c:pt>
                <c:pt idx="260">
                  <c:v>235.18816261066081</c:v>
                </c:pt>
                <c:pt idx="261">
                  <c:v>#N/A</c:v>
                </c:pt>
                <c:pt idx="262">
                  <c:v>#N/A</c:v>
                </c:pt>
                <c:pt idx="263">
                  <c:v>#N/A</c:v>
                </c:pt>
                <c:pt idx="264">
                  <c:v>#N/A</c:v>
                </c:pt>
                <c:pt idx="265">
                  <c:v>#N/A</c:v>
                </c:pt>
                <c:pt idx="266">
                  <c:v>#N/A</c:v>
                </c:pt>
                <c:pt idx="267">
                  <c:v>#N/A</c:v>
                </c:pt>
                <c:pt idx="268">
                  <c:v>#N/A</c:v>
                </c:pt>
                <c:pt idx="269">
                  <c:v>#N/A</c:v>
                </c:pt>
                <c:pt idx="270">
                  <c:v>261.98974781566773</c:v>
                </c:pt>
                <c:pt idx="271">
                  <c:v>#N/A</c:v>
                </c:pt>
                <c:pt idx="272">
                  <c:v>#N/A</c:v>
                </c:pt>
                <c:pt idx="273">
                  <c:v>#N/A</c:v>
                </c:pt>
                <c:pt idx="274">
                  <c:v>#N/A</c:v>
                </c:pt>
                <c:pt idx="275">
                  <c:v>#N/A</c:v>
                </c:pt>
                <c:pt idx="276">
                  <c:v>#N/A</c:v>
                </c:pt>
                <c:pt idx="277">
                  <c:v>#N/A</c:v>
                </c:pt>
                <c:pt idx="278">
                  <c:v>#N/A</c:v>
                </c:pt>
                <c:pt idx="279">
                  <c:v>#N/A</c:v>
                </c:pt>
                <c:pt idx="280">
                  <c:v>288.01437181074897</c:v>
                </c:pt>
                <c:pt idx="281">
                  <c:v>#N/A</c:v>
                </c:pt>
                <c:pt idx="282">
                  <c:v>#N/A</c:v>
                </c:pt>
                <c:pt idx="283">
                  <c:v>#N/A</c:v>
                </c:pt>
                <c:pt idx="284">
                  <c:v>#N/A</c:v>
                </c:pt>
                <c:pt idx="285">
                  <c:v>#N/A</c:v>
                </c:pt>
                <c:pt idx="286">
                  <c:v>#N/A</c:v>
                </c:pt>
                <c:pt idx="287">
                  <c:v>#N/A</c:v>
                </c:pt>
                <c:pt idx="288">
                  <c:v>#N/A</c:v>
                </c:pt>
                <c:pt idx="289">
                  <c:v>#N/A</c:v>
                </c:pt>
                <c:pt idx="290">
                  <c:v>313.39951245686785</c:v>
                </c:pt>
                <c:pt idx="291">
                  <c:v>#N/A</c:v>
                </c:pt>
                <c:pt idx="292">
                  <c:v>#N/A</c:v>
                </c:pt>
                <c:pt idx="293">
                  <c:v>#N/A</c:v>
                </c:pt>
                <c:pt idx="294">
                  <c:v>#N/A</c:v>
                </c:pt>
                <c:pt idx="295">
                  <c:v>#N/A</c:v>
                </c:pt>
                <c:pt idx="296">
                  <c:v>#N/A</c:v>
                </c:pt>
                <c:pt idx="297">
                  <c:v>#N/A</c:v>
                </c:pt>
                <c:pt idx="298">
                  <c:v>#N/A</c:v>
                </c:pt>
                <c:pt idx="299">
                  <c:v>#N/A</c:v>
                </c:pt>
                <c:pt idx="300">
                  <c:v>338.26347842813885</c:v>
                </c:pt>
                <c:pt idx="301">
                  <c:v>#N/A</c:v>
                </c:pt>
                <c:pt idx="302">
                  <c:v>#N/A</c:v>
                </c:pt>
                <c:pt idx="303">
                  <c:v>#N/A</c:v>
                </c:pt>
                <c:pt idx="304">
                  <c:v>#N/A</c:v>
                </c:pt>
                <c:pt idx="305">
                  <c:v>#N/A</c:v>
                </c:pt>
                <c:pt idx="306">
                  <c:v>#N/A</c:v>
                </c:pt>
                <c:pt idx="307">
                  <c:v>#N/A</c:v>
                </c:pt>
                <c:pt idx="308">
                  <c:v>#N/A</c:v>
                </c:pt>
                <c:pt idx="309">
                  <c:v>#N/A</c:v>
                </c:pt>
                <c:pt idx="310">
                  <c:v>362.70804291915249</c:v>
                </c:pt>
                <c:pt idx="311">
                  <c:v>#N/A</c:v>
                </c:pt>
                <c:pt idx="312">
                  <c:v>#N/A</c:v>
                </c:pt>
                <c:pt idx="313">
                  <c:v>#N/A</c:v>
                </c:pt>
                <c:pt idx="314">
                  <c:v>#N/A</c:v>
                </c:pt>
                <c:pt idx="315">
                  <c:v>#N/A</c:v>
                </c:pt>
                <c:pt idx="316">
                  <c:v>#N/A</c:v>
                </c:pt>
                <c:pt idx="317">
                  <c:v>#N/A</c:v>
                </c:pt>
                <c:pt idx="318">
                  <c:v>#N/A</c:v>
                </c:pt>
                <c:pt idx="319">
                  <c:v>#N/A</c:v>
                </c:pt>
                <c:pt idx="320">
                  <c:v>386.81874493970764</c:v>
                </c:pt>
                <c:pt idx="321">
                  <c:v>#N/A</c:v>
                </c:pt>
                <c:pt idx="322">
                  <c:v>#N/A</c:v>
                </c:pt>
                <c:pt idx="323">
                  <c:v>#N/A</c:v>
                </c:pt>
                <c:pt idx="324">
                  <c:v>#N/A</c:v>
                </c:pt>
                <c:pt idx="325">
                  <c:v>#N/A</c:v>
                </c:pt>
                <c:pt idx="326">
                  <c:v>#N/A</c:v>
                </c:pt>
                <c:pt idx="327">
                  <c:v>#N/A</c:v>
                </c:pt>
                <c:pt idx="328">
                  <c:v>#N/A</c:v>
                </c:pt>
                <c:pt idx="329">
                  <c:v>#N/A</c:v>
                </c:pt>
                <c:pt idx="330">
                  <c:v>410.66177341117674</c:v>
                </c:pt>
                <c:pt idx="331">
                  <c:v>#N/A</c:v>
                </c:pt>
                <c:pt idx="332">
                  <c:v>#N/A</c:v>
                </c:pt>
                <c:pt idx="333">
                  <c:v>#N/A</c:v>
                </c:pt>
                <c:pt idx="334">
                  <c:v>#N/A</c:v>
                </c:pt>
                <c:pt idx="335">
                  <c:v>#N/A</c:v>
                </c:pt>
                <c:pt idx="336">
                  <c:v>#N/A</c:v>
                </c:pt>
                <c:pt idx="337">
                  <c:v>#N/A</c:v>
                </c:pt>
                <c:pt idx="338">
                  <c:v>#N/A</c:v>
                </c:pt>
                <c:pt idx="339">
                  <c:v>#N/A</c:v>
                </c:pt>
                <c:pt idx="340">
                  <c:v>434.27654027874308</c:v>
                </c:pt>
                <c:pt idx="341">
                  <c:v>#N/A</c:v>
                </c:pt>
                <c:pt idx="342">
                  <c:v>#N/A</c:v>
                </c:pt>
                <c:pt idx="343">
                  <c:v>#N/A</c:v>
                </c:pt>
                <c:pt idx="344">
                  <c:v>#N/A</c:v>
                </c:pt>
                <c:pt idx="345">
                  <c:v>#N/A</c:v>
                </c:pt>
                <c:pt idx="346">
                  <c:v>#N/A</c:v>
                </c:pt>
                <c:pt idx="347">
                  <c:v>#N/A</c:v>
                </c:pt>
                <c:pt idx="348">
                  <c:v>#N/A</c:v>
                </c:pt>
                <c:pt idx="349">
                  <c:v>#N/A</c:v>
                </c:pt>
                <c:pt idx="350">
                  <c:v>457.66791357343931</c:v>
                </c:pt>
                <c:pt idx="351">
                  <c:v>#N/A</c:v>
                </c:pt>
                <c:pt idx="352">
                  <c:v>#N/A</c:v>
                </c:pt>
                <c:pt idx="353">
                  <c:v>#N/A</c:v>
                </c:pt>
                <c:pt idx="354">
                  <c:v>#N/A</c:v>
                </c:pt>
                <c:pt idx="355">
                  <c:v>#N/A</c:v>
                </c:pt>
                <c:pt idx="356">
                  <c:v>#N/A</c:v>
                </c:pt>
                <c:pt idx="357">
                  <c:v>#N/A</c:v>
                </c:pt>
                <c:pt idx="358">
                  <c:v>#N/A</c:v>
                </c:pt>
                <c:pt idx="359">
                  <c:v>#N/A</c:v>
                </c:pt>
                <c:pt idx="360">
                  <c:v>480.80783995661329</c:v>
                </c:pt>
                <c:pt idx="361">
                  <c:v>#N/A</c:v>
                </c:pt>
                <c:pt idx="362">
                  <c:v>#N/A</c:v>
                </c:pt>
                <c:pt idx="363">
                  <c:v>#N/A</c:v>
                </c:pt>
                <c:pt idx="364">
                  <c:v>#N/A</c:v>
                </c:pt>
                <c:pt idx="365">
                  <c:v>#N/A</c:v>
                </c:pt>
                <c:pt idx="366">
                  <c:v>#N/A</c:v>
                </c:pt>
                <c:pt idx="367">
                  <c:v>#N/A</c:v>
                </c:pt>
                <c:pt idx="368">
                  <c:v>#N/A</c:v>
                </c:pt>
                <c:pt idx="369">
                  <c:v>#N/A</c:v>
                </c:pt>
                <c:pt idx="370">
                  <c:v>503.64674825790337</c:v>
                </c:pt>
                <c:pt idx="371">
                  <c:v>#N/A</c:v>
                </c:pt>
                <c:pt idx="372">
                  <c:v>#N/A</c:v>
                </c:pt>
                <c:pt idx="373">
                  <c:v>#N/A</c:v>
                </c:pt>
                <c:pt idx="374">
                  <c:v>#N/A</c:v>
                </c:pt>
                <c:pt idx="375">
                  <c:v>#N/A</c:v>
                </c:pt>
                <c:pt idx="376">
                  <c:v>#N/A</c:v>
                </c:pt>
                <c:pt idx="377">
                  <c:v>#N/A</c:v>
                </c:pt>
                <c:pt idx="378">
                  <c:v>#N/A</c:v>
                </c:pt>
                <c:pt idx="379">
                  <c:v>#N/A</c:v>
                </c:pt>
                <c:pt idx="380">
                  <c:v>526.12502183723939</c:v>
                </c:pt>
                <c:pt idx="381">
                  <c:v>#N/A</c:v>
                </c:pt>
                <c:pt idx="382">
                  <c:v>#N/A</c:v>
                </c:pt>
                <c:pt idx="383">
                  <c:v>#N/A</c:v>
                </c:pt>
                <c:pt idx="384">
                  <c:v>#N/A</c:v>
                </c:pt>
                <c:pt idx="385">
                  <c:v>#N/A</c:v>
                </c:pt>
                <c:pt idx="386">
                  <c:v>#N/A</c:v>
                </c:pt>
                <c:pt idx="387">
                  <c:v>#N/A</c:v>
                </c:pt>
                <c:pt idx="388">
                  <c:v>#N/A</c:v>
                </c:pt>
                <c:pt idx="389">
                  <c:v>#N/A</c:v>
                </c:pt>
                <c:pt idx="390">
                  <c:v>548.18029347279014</c:v>
                </c:pt>
                <c:pt idx="391">
                  <c:v>#N/A</c:v>
                </c:pt>
                <c:pt idx="392">
                  <c:v>#N/A</c:v>
                </c:pt>
                <c:pt idx="393">
                  <c:v>#N/A</c:v>
                </c:pt>
                <c:pt idx="394">
                  <c:v>#N/A</c:v>
                </c:pt>
                <c:pt idx="395">
                  <c:v>#N/A</c:v>
                </c:pt>
                <c:pt idx="396">
                  <c:v>#N/A</c:v>
                </c:pt>
                <c:pt idx="397">
                  <c:v>#N/A</c:v>
                </c:pt>
                <c:pt idx="398">
                  <c:v>#N/A</c:v>
                </c:pt>
                <c:pt idx="399">
                  <c:v>#N/A</c:v>
                </c:pt>
                <c:pt idx="400">
                  <c:v>569.75161600242154</c:v>
                </c:pt>
                <c:pt idx="401">
                  <c:v>#N/A</c:v>
                </c:pt>
                <c:pt idx="402">
                  <c:v>#N/A</c:v>
                </c:pt>
                <c:pt idx="403">
                  <c:v>#N/A</c:v>
                </c:pt>
                <c:pt idx="404">
                  <c:v>#N/A</c:v>
                </c:pt>
                <c:pt idx="405">
                  <c:v>#N/A</c:v>
                </c:pt>
                <c:pt idx="406">
                  <c:v>#N/A</c:v>
                </c:pt>
                <c:pt idx="407">
                  <c:v>#N/A</c:v>
                </c:pt>
                <c:pt idx="408">
                  <c:v>#N/A</c:v>
                </c:pt>
                <c:pt idx="409">
                  <c:v>#N/A</c:v>
                </c:pt>
                <c:pt idx="410">
                  <c:v>590.7819300736129</c:v>
                </c:pt>
                <c:pt idx="411">
                  <c:v>#N/A</c:v>
                </c:pt>
                <c:pt idx="412">
                  <c:v>#N/A</c:v>
                </c:pt>
                <c:pt idx="413">
                  <c:v>#N/A</c:v>
                </c:pt>
                <c:pt idx="414">
                  <c:v>#N/A</c:v>
                </c:pt>
                <c:pt idx="415">
                  <c:v>#N/A</c:v>
                </c:pt>
                <c:pt idx="416">
                  <c:v>#N/A</c:v>
                </c:pt>
                <c:pt idx="417">
                  <c:v>#N/A</c:v>
                </c:pt>
                <c:pt idx="418">
                  <c:v>#N/A</c:v>
                </c:pt>
                <c:pt idx="419">
                  <c:v>#N/A</c:v>
                </c:pt>
                <c:pt idx="420">
                  <c:v>611.21959561228277</c:v>
                </c:pt>
                <c:pt idx="421">
                  <c:v>#N/A</c:v>
                </c:pt>
                <c:pt idx="422">
                  <c:v>#N/A</c:v>
                </c:pt>
                <c:pt idx="423">
                  <c:v>#N/A</c:v>
                </c:pt>
                <c:pt idx="424">
                  <c:v>#N/A</c:v>
                </c:pt>
                <c:pt idx="425">
                  <c:v>#N/A</c:v>
                </c:pt>
                <c:pt idx="426">
                  <c:v>#N/A</c:v>
                </c:pt>
                <c:pt idx="427">
                  <c:v>#N/A</c:v>
                </c:pt>
                <c:pt idx="428">
                  <c:v>#N/A</c:v>
                </c:pt>
                <c:pt idx="429">
                  <c:v>#N/A</c:v>
                </c:pt>
                <c:pt idx="430">
                  <c:v>631.01934776503185</c:v>
                </c:pt>
                <c:pt idx="431">
                  <c:v>#N/A</c:v>
                </c:pt>
                <c:pt idx="432">
                  <c:v>#N/A</c:v>
                </c:pt>
                <c:pt idx="433">
                  <c:v>#N/A</c:v>
                </c:pt>
                <c:pt idx="434">
                  <c:v>#N/A</c:v>
                </c:pt>
                <c:pt idx="435">
                  <c:v>#N/A</c:v>
                </c:pt>
                <c:pt idx="436">
                  <c:v>#N/A</c:v>
                </c:pt>
                <c:pt idx="437">
                  <c:v>#N/A</c:v>
                </c:pt>
                <c:pt idx="438">
                  <c:v>#N/A</c:v>
                </c:pt>
                <c:pt idx="439">
                  <c:v>#N/A</c:v>
                </c:pt>
                <c:pt idx="440">
                  <c:v>650.1428537106824</c:v>
                </c:pt>
                <c:pt idx="441">
                  <c:v>#N/A</c:v>
                </c:pt>
                <c:pt idx="442">
                  <c:v>#N/A</c:v>
                </c:pt>
                <c:pt idx="443">
                  <c:v>#N/A</c:v>
                </c:pt>
                <c:pt idx="444">
                  <c:v>#N/A</c:v>
                </c:pt>
                <c:pt idx="445">
                  <c:v>#N/A</c:v>
                </c:pt>
                <c:pt idx="446">
                  <c:v>#N/A</c:v>
                </c:pt>
                <c:pt idx="447">
                  <c:v>#N/A</c:v>
                </c:pt>
                <c:pt idx="448">
                  <c:v>#N/A</c:v>
                </c:pt>
                <c:pt idx="449">
                  <c:v>#N/A</c:v>
                </c:pt>
                <c:pt idx="450">
                  <c:v>668.55896726816172</c:v>
                </c:pt>
                <c:pt idx="451">
                  <c:v>#N/A</c:v>
                </c:pt>
                <c:pt idx="452">
                  <c:v>#N/A</c:v>
                </c:pt>
                <c:pt idx="453">
                  <c:v>#N/A</c:v>
                </c:pt>
                <c:pt idx="454">
                  <c:v>#N/A</c:v>
                </c:pt>
                <c:pt idx="455">
                  <c:v>#N/A</c:v>
                </c:pt>
                <c:pt idx="456">
                  <c:v>#N/A</c:v>
                </c:pt>
                <c:pt idx="457">
                  <c:v>#N/A</c:v>
                </c:pt>
                <c:pt idx="458">
                  <c:v>#N/A</c:v>
                </c:pt>
                <c:pt idx="459">
                  <c:v>#N/A</c:v>
                </c:pt>
                <c:pt idx="460">
                  <c:v>686.24374385514125</c:v>
                </c:pt>
                <c:pt idx="461">
                  <c:v>#N/A</c:v>
                </c:pt>
                <c:pt idx="462">
                  <c:v>#N/A</c:v>
                </c:pt>
                <c:pt idx="463">
                  <c:v>#N/A</c:v>
                </c:pt>
                <c:pt idx="464">
                  <c:v>#N/A</c:v>
                </c:pt>
                <c:pt idx="465">
                  <c:v>#N/A</c:v>
                </c:pt>
                <c:pt idx="466">
                  <c:v>#N/A</c:v>
                </c:pt>
                <c:pt idx="467">
                  <c:v>#N/A</c:v>
                </c:pt>
                <c:pt idx="468">
                  <c:v>#N/A</c:v>
                </c:pt>
                <c:pt idx="469">
                  <c:v>#N/A</c:v>
                </c:pt>
                <c:pt idx="470">
                  <c:v>703.18026312370148</c:v>
                </c:pt>
                <c:pt idx="471">
                  <c:v>#N/A</c:v>
                </c:pt>
                <c:pt idx="472">
                  <c:v>#N/A</c:v>
                </c:pt>
                <c:pt idx="473">
                  <c:v>#N/A</c:v>
                </c:pt>
                <c:pt idx="474">
                  <c:v>#N/A</c:v>
                </c:pt>
                <c:pt idx="475">
                  <c:v>#N/A</c:v>
                </c:pt>
                <c:pt idx="476">
                  <c:v>#N/A</c:v>
                </c:pt>
                <c:pt idx="477">
                  <c:v>#N/A</c:v>
                </c:pt>
                <c:pt idx="478">
                  <c:v>#N/A</c:v>
                </c:pt>
                <c:pt idx="479">
                  <c:v>#N/A</c:v>
                </c:pt>
                <c:pt idx="480">
                  <c:v>719.35829933440914</c:v>
                </c:pt>
                <c:pt idx="481">
                  <c:v>#N/A</c:v>
                </c:pt>
                <c:pt idx="482">
                  <c:v>#N/A</c:v>
                </c:pt>
                <c:pt idx="483">
                  <c:v>#N/A</c:v>
                </c:pt>
                <c:pt idx="484">
                  <c:v>#N/A</c:v>
                </c:pt>
                <c:pt idx="485">
                  <c:v>#N/A</c:v>
                </c:pt>
                <c:pt idx="486">
                  <c:v>#N/A</c:v>
                </c:pt>
                <c:pt idx="487">
                  <c:v>#N/A</c:v>
                </c:pt>
                <c:pt idx="488">
                  <c:v>#N/A</c:v>
                </c:pt>
                <c:pt idx="489">
                  <c:v>#N/A</c:v>
                </c:pt>
                <c:pt idx="490">
                  <c:v>734.77387531747661</c:v>
                </c:pt>
                <c:pt idx="491">
                  <c:v>#N/A</c:v>
                </c:pt>
                <c:pt idx="492">
                  <c:v>#N/A</c:v>
                </c:pt>
                <c:pt idx="493">
                  <c:v>#N/A</c:v>
                </c:pt>
                <c:pt idx="494">
                  <c:v>#N/A</c:v>
                </c:pt>
                <c:pt idx="495">
                  <c:v>#N/A</c:v>
                </c:pt>
                <c:pt idx="496">
                  <c:v>#N/A</c:v>
                </c:pt>
                <c:pt idx="497">
                  <c:v>#N/A</c:v>
                </c:pt>
                <c:pt idx="498">
                  <c:v>#N/A</c:v>
                </c:pt>
                <c:pt idx="499">
                  <c:v>#N/A</c:v>
                </c:pt>
                <c:pt idx="500">
                  <c:v>749.42873255707855</c:v>
                </c:pt>
                <c:pt idx="501">
                  <c:v>#N/A</c:v>
                </c:pt>
                <c:pt idx="502">
                  <c:v>#N/A</c:v>
                </c:pt>
                <c:pt idx="503">
                  <c:v>#N/A</c:v>
                </c:pt>
                <c:pt idx="504">
                  <c:v>#N/A</c:v>
                </c:pt>
                <c:pt idx="505">
                  <c:v>#N/A</c:v>
                </c:pt>
                <c:pt idx="506">
                  <c:v>#N/A</c:v>
                </c:pt>
                <c:pt idx="507">
                  <c:v>#N/A</c:v>
                </c:pt>
                <c:pt idx="508">
                  <c:v>#N/A</c:v>
                </c:pt>
                <c:pt idx="509">
                  <c:v>#N/A</c:v>
                </c:pt>
                <c:pt idx="510">
                  <c:v>763.32974664346591</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7.9588567858292995E-4</c:v>
                </c:pt>
                <c:pt idx="2">
                  <c:v>6.723482670051845E-3</c:v>
                </c:pt>
                <c:pt idx="3">
                  <c:v>2.3479711239899365E-2</c:v>
                </c:pt>
                <c:pt idx="4">
                  <c:v>5.2995906566015188E-2</c:v>
                </c:pt>
                <c:pt idx="5">
                  <c:v>9.4820262845367348E-2</c:v>
                </c:pt>
                <c:pt idx="6">
                  <c:v>0.14863784731109492</c:v>
                </c:pt>
                <c:pt idx="7">
                  <c:v>0.21440886054895564</c:v>
                </c:pt>
                <c:pt idx="8">
                  <c:v>0.29223128024106937</c:v>
                </c:pt>
                <c:pt idx="9">
                  <c:v>0.3822031479999124</c:v>
                </c:pt>
                <c:pt idx="10">
                  <c:v>0.48442256793887617</c:v>
                </c:pt>
                <c:pt idx="11">
                  <c:v>0.59897339643303338</c:v>
                </c:pt>
                <c:pt idx="12">
                  <c:v>0.72591089482237248</c:v>
                </c:pt>
                <c:pt idx="13">
                  <c:v>0.86527598194740496</c:v>
                </c:pt>
                <c:pt idx="14">
                  <c:v>1.0171095238995609</c:v>
                </c:pt>
                <c:pt idx="15">
                  <c:v>1.1814523328906639</c:v>
                </c:pt>
                <c:pt idx="16">
                  <c:v>1.3583451661181094</c:v>
                </c:pt>
                <c:pt idx="17">
                  <c:v>1.5478287246258078</c:v>
                </c:pt>
                <c:pt idx="18">
                  <c:v>1.7499436521609577</c:v>
                </c:pt>
                <c:pt idx="19">
                  <c:v>1.9647305340267165</c:v>
                </c:pt>
                <c:pt idx="20">
                  <c:v>2.1922298959308328</c:v>
                </c:pt>
                <c:pt idx="21">
                  <c:v>2.4324764613328229</c:v>
                </c:pt>
                <c:pt idx="22">
                  <c:v>2.6854933941468113</c:v>
                </c:pt>
                <c:pt idx="23">
                  <c:v>2.9512980178484214</c:v>
                </c:pt>
                <c:pt idx="24">
                  <c:v>3.2299075494554561</c:v>
                </c:pt>
                <c:pt idx="25">
                  <c:v>3.5213390988348241</c:v>
                </c:pt>
                <c:pt idx="26">
                  <c:v>3.8256096680122686</c:v>
                </c:pt>
                <c:pt idx="27">
                  <c:v>4.1427361504849607</c:v>
                </c:pt>
                <c:pt idx="28">
                  <c:v>4.4727205299112907</c:v>
                </c:pt>
                <c:pt idx="29">
                  <c:v>4.8155640809976488</c:v>
                </c:pt>
                <c:pt idx="30">
                  <c:v>5.1712821766383108</c:v>
                </c:pt>
                <c:pt idx="31">
                  <c:v>5.5398901022790819</c:v>
                </c:pt>
                <c:pt idx="32">
                  <c:v>5.9214030636097714</c:v>
                </c:pt>
                <c:pt idx="33">
                  <c:v>6.31583618389429</c:v>
                </c:pt>
                <c:pt idx="34">
                  <c:v>6.7232045014900033</c:v>
                </c:pt>
                <c:pt idx="35">
                  <c:v>7.1435229675339738</c:v>
                </c:pt>
                <c:pt idx="36">
                  <c:v>7.5768064437770102</c:v>
                </c:pt>
                <c:pt idx="37">
                  <c:v>8.0230697005491916</c:v>
                </c:pt>
                <c:pt idx="38">
                  <c:v>8.4823274148428052</c:v>
                </c:pt>
                <c:pt idx="39">
                  <c:v>8.9545941685005399</c:v>
                </c:pt>
                <c:pt idx="40">
                  <c:v>9.4398844464983878</c:v>
                </c:pt>
                <c:pt idx="41">
                  <c:v>9.938208170198962</c:v>
                </c:pt>
                <c:pt idx="42">
                  <c:v>10.449566220794946</c:v>
                </c:pt>
                <c:pt idx="43">
                  <c:v>10.973954889047857</c:v>
                </c:pt>
                <c:pt idx="44">
                  <c:v>11.511370335191106</c:v>
                </c:pt>
                <c:pt idx="45">
                  <c:v>12.061808587999941</c:v>
                </c:pt>
                <c:pt idx="46">
                  <c:v>12.625265543925277</c:v>
                </c:pt>
                <c:pt idx="47">
                  <c:v>13.20173696628637</c:v>
                </c:pt>
                <c:pt idx="48">
                  <c:v>13.79121848451787</c:v>
                </c:pt>
                <c:pt idx="49">
                  <c:v>14.393705593467239</c:v>
                </c:pt>
                <c:pt idx="50">
                  <c:v>15.009193652738984</c:v>
                </c:pt>
                <c:pt idx="51">
                  <c:v>15.637677886082503</c:v>
                </c:pt>
                <c:pt idx="52">
                  <c:v>16.279153380820645</c:v>
                </c:pt>
                <c:pt idx="53">
                  <c:v>16.933615087316426</c:v>
                </c:pt>
                <c:pt idx="54">
                  <c:v>17.601057818475532</c:v>
                </c:pt>
                <c:pt idx="55">
                  <c:v>18.28147624928253</c:v>
                </c:pt>
                <c:pt idx="56">
                  <c:v>18.97486491636883</c:v>
                </c:pt>
                <c:pt idx="57">
                  <c:v>19.681218217610695</c:v>
                </c:pt>
                <c:pt idx="58">
                  <c:v>20.400530411755685</c:v>
                </c:pt>
                <c:pt idx="59">
                  <c:v>21.132795618076113</c:v>
                </c:pt>
                <c:pt idx="60">
                  <c:v>21.878007816048164</c:v>
                </c:pt>
                <c:pt idx="61">
                  <c:v>22.636160845055535</c:v>
                </c:pt>
                <c:pt idx="62">
                  <c:v>23.407248404116402</c:v>
                </c:pt>
                <c:pt idx="63">
                  <c:v>24.191264051632764</c:v>
                </c:pt>
                <c:pt idx="64">
                  <c:v>24.988201205161229</c:v>
                </c:pt>
                <c:pt idx="65">
                  <c:v>25.798053141204328</c:v>
                </c:pt>
                <c:pt idx="66">
                  <c:v>26.620812995021634</c:v>
                </c:pt>
                <c:pt idx="67">
                  <c:v>27.456473760459918</c:v>
                </c:pt>
                <c:pt idx="68">
                  <c:v>28.305028289801662</c:v>
                </c:pt>
                <c:pt idx="69">
                  <c:v>29.166469293631312</c:v>
                </c:pt>
                <c:pt idx="70">
                  <c:v>30.040789340718703</c:v>
                </c:pt>
                <c:pt idx="71">
                  <c:v>30.927980857919081</c:v>
                </c:pt>
                <c:pt idx="72">
                  <c:v>31.828036130089266</c:v>
                </c:pt>
                <c:pt idx="73">
                  <c:v>32.740947300019428</c:v>
                </c:pt>
                <c:pt idx="74">
                  <c:v>33.666706368380119</c:v>
                </c:pt>
                <c:pt idx="75">
                  <c:v>34.605305193684053</c:v>
                </c:pt>
                <c:pt idx="76">
                  <c:v>35.556735492262376</c:v>
                </c:pt>
                <c:pt idx="77">
                  <c:v>36.520988838254929</c:v>
                </c:pt>
                <c:pt idx="78">
                  <c:v>37.498056663614292</c:v>
                </c:pt>
                <c:pt idx="79">
                  <c:v>38.487930258123235</c:v>
                </c:pt>
                <c:pt idx="80">
                  <c:v>39.490600769425271</c:v>
                </c:pt>
                <c:pt idx="81">
                  <c:v>40.506054671291871</c:v>
                </c:pt>
                <c:pt idx="82">
                  <c:v>41.534269223564927</c:v>
                </c:pt>
                <c:pt idx="83">
                  <c:v>42.575216993653761</c:v>
                </c:pt>
                <c:pt idx="84">
                  <c:v>43.628870386697834</c:v>
                </c:pt>
                <c:pt idx="85">
                  <c:v>44.69520164629246</c:v>
                </c:pt>
                <c:pt idx="86">
                  <c:v>45.774182855228148</c:v>
                </c:pt>
                <c:pt idx="87">
                  <c:v>46.865785936243235</c:v>
                </c:pt>
                <c:pt idx="88">
                  <c:v>47.969982652789454</c:v>
                </c:pt>
                <c:pt idx="89">
                  <c:v>49.086744609810168</c:v>
                </c:pt>
                <c:pt idx="90">
                  <c:v>50.216043254530938</c:v>
                </c:pt>
                <c:pt idx="91">
                  <c:v>51.357847874866614</c:v>
                </c:pt>
                <c:pt idx="92">
                  <c:v>52.512123594452866</c:v>
                </c:pt>
                <c:pt idx="93">
                  <c:v>53.678833371876017</c:v>
                </c:pt>
                <c:pt idx="94">
                  <c:v>54.857940003457699</c:v>
                </c:pt>
                <c:pt idx="95">
                  <c:v>56.049406124415476</c:v>
                </c:pt>
                <c:pt idx="96">
                  <c:v>57.253194210034358</c:v>
                </c:pt>
                <c:pt idx="97">
                  <c:v>58.46926657684886</c:v>
                </c:pt>
                <c:pt idx="98">
                  <c:v>59.697585383835332</c:v>
                </c:pt>
                <c:pt idx="99">
                  <c:v>60.938112633614253</c:v>
                </c:pt>
                <c:pt idx="100">
                  <c:v>62.190810173662278</c:v>
                </c:pt>
                <c:pt idx="101">
                  <c:v>63.455639377226447</c:v>
                </c:pt>
                <c:pt idx="102">
                  <c:v>64.732560823757723</c:v>
                </c:pt>
                <c:pt idx="103">
                  <c:v>66.02153461991719</c:v>
                </c:pt>
                <c:pt idx="104">
                  <c:v>67.322520721106642</c:v>
                </c:pt>
                <c:pt idx="105">
                  <c:v>68.635478932776749</c:v>
                </c:pt>
                <c:pt idx="106">
                  <c:v>69.960368911743316</c:v>
                </c:pt>
                <c:pt idx="107">
                  <c:v>71.297150167511461</c:v>
                </c:pt>
                <c:pt idx="108">
                  <c:v>72.6457820636073</c:v>
                </c:pt>
                <c:pt idx="109">
                  <c:v>74.006223818917107</c:v>
                </c:pt>
                <c:pt idx="110">
                  <c:v>75.378434509033582</c:v>
                </c:pt>
                <c:pt idx="111">
                  <c:v>76.762376755823098</c:v>
                </c:pt>
                <c:pt idx="112">
                  <c:v>78.158020422049944</c:v>
                </c:pt>
                <c:pt idx="113">
                  <c:v>79.56533892965804</c:v>
                </c:pt>
                <c:pt idx="114">
                  <c:v>80.984305572728815</c:v>
                </c:pt>
                <c:pt idx="115">
                  <c:v>82.414893518300389</c:v>
                </c:pt>
                <c:pt idx="116">
                  <c:v>83.85707580719334</c:v>
                </c:pt>
                <c:pt idx="117">
                  <c:v>85.310825354843004</c:v>
                </c:pt>
                <c:pt idx="118">
                  <c:v>86.776114952138201</c:v>
                </c:pt>
                <c:pt idx="119">
                  <c:v>88.252917266266223</c:v>
                </c:pt>
                <c:pt idx="120">
                  <c:v>89.741204841563871</c:v>
                </c:pt>
                <c:pt idx="121">
                  <c:v>91.24094398246018</c:v>
                </c:pt>
                <c:pt idx="122">
                  <c:v>92.752088628881836</c:v>
                </c:pt>
                <c:pt idx="123">
                  <c:v>94.274586468149366</c:v>
                </c:pt>
                <c:pt idx="124">
                  <c:v>95.808385054901692</c:v>
                </c:pt>
                <c:pt idx="125">
                  <c:v>97.353431812934318</c:v>
                </c:pt>
                <c:pt idx="126">
                  <c:v>98.90967403704019</c:v>
                </c:pt>
                <c:pt idx="127">
                  <c:v>100.47705889485302</c:v>
                </c:pt>
                <c:pt idx="128">
                  <c:v>102.05553342869275</c:v>
                </c:pt>
                <c:pt idx="129">
                  <c:v>103.6450445574131</c:v>
                </c:pt>
                <c:pt idx="130">
                  <c:v>105.2455390782506</c:v>
                </c:pt>
                <c:pt idx="131">
                  <c:v>106.85696206683457</c:v>
                </c:pt>
                <c:pt idx="132">
                  <c:v>108.47925527552694</c:v>
                </c:pt>
                <c:pt idx="133">
                  <c:v>110.11235873586841</c:v>
                </c:pt>
                <c:pt idx="134">
                  <c:v>111.75621236283401</c:v>
                </c:pt>
                <c:pt idx="135">
                  <c:v>113.41075595696113</c:v>
                </c:pt>
                <c:pt idx="136">
                  <c:v>115.07592920647645</c:v>
                </c:pt>
                <c:pt idx="137">
                  <c:v>116.7516716894214</c:v>
                </c:pt>
                <c:pt idx="138">
                  <c:v>118.43792287577593</c:v>
                </c:pt>
                <c:pt idx="139">
                  <c:v>120.13462212958029</c:v>
                </c:pt>
                <c:pt idx="140">
                  <c:v>121.84170871105466</c:v>
                </c:pt>
                <c:pt idx="141">
                  <c:v>123.55910262424158</c:v>
                </c:pt>
                <c:pt idx="142">
                  <c:v>125.2866854487269</c:v>
                </c:pt>
                <c:pt idx="143">
                  <c:v>127.02431948877086</c:v>
                </c:pt>
                <c:pt idx="144">
                  <c:v>128.77186694042001</c:v>
                </c:pt>
                <c:pt idx="145">
                  <c:v>130.52918989772519</c:v>
                </c:pt>
                <c:pt idx="146">
                  <c:v>132.29615035892041</c:v>
                </c:pt>
                <c:pt idx="147">
                  <c:v>134.07261023256203</c:v>
                </c:pt>
                <c:pt idx="148">
                  <c:v>135.85843134362693</c:v>
                </c:pt>
                <c:pt idx="149">
                  <c:v>137.65347543956926</c:v>
                </c:pt>
                <c:pt idx="150">
                  <c:v>139.45760419633461</c:v>
                </c:pt>
                <c:pt idx="151">
                  <c:v>141.27067922433088</c:v>
                </c:pt>
                <c:pt idx="152">
                  <c:v>143.09256207435516</c:v>
                </c:pt>
                <c:pt idx="153">
                  <c:v>144.92311424347562</c:v>
                </c:pt>
                <c:pt idx="154">
                  <c:v>146.7621971808679</c:v>
                </c:pt>
                <c:pt idx="155">
                  <c:v>148.609672293605</c:v>
                </c:pt>
                <c:pt idx="156">
                  <c:v>150.46531023282532</c:v>
                </c:pt>
                <c:pt idx="157">
                  <c:v>152.32870015962811</c:v>
                </c:pt>
                <c:pt idx="158">
                  <c:v>154.19934053211031</c:v>
                </c:pt>
                <c:pt idx="159">
                  <c:v>156.07672993311658</c:v>
                </c:pt>
                <c:pt idx="160">
                  <c:v>157.96036711654375</c:v>
                </c:pt>
                <c:pt idx="161">
                  <c:v>159.84963571845012</c:v>
                </c:pt>
                <c:pt idx="162">
                  <c:v>161.7436890236242</c:v>
                </c:pt>
                <c:pt idx="163">
                  <c:v>163.64157656115606</c:v>
                </c:pt>
                <c:pt idx="164">
                  <c:v>165.54237068465417</c:v>
                </c:pt>
                <c:pt idx="165">
                  <c:v>167.44526586288265</c:v>
                </c:pt>
                <c:pt idx="166">
                  <c:v>169.34967783643003</c:v>
                </c:pt>
                <c:pt idx="167">
                  <c:v>171.25504948739027</c:v>
                </c:pt>
                <c:pt idx="168">
                  <c:v>173.16071751107907</c:v>
                </c:pt>
                <c:pt idx="169">
                  <c:v>175.06582340779886</c:v>
                </c:pt>
                <c:pt idx="170">
                  <c:v>176.96928528637369</c:v>
                </c:pt>
                <c:pt idx="171">
                  <c:v>178.87034592471116</c:v>
                </c:pt>
                <c:pt idx="172">
                  <c:v>180.76881683826667</c:v>
                </c:pt>
                <c:pt idx="173">
                  <c:v>182.66470267874479</c:v>
                </c:pt>
                <c:pt idx="174">
                  <c:v>184.55800808201212</c:v>
                </c:pt>
                <c:pt idx="175">
                  <c:v>186.44873766816829</c:v>
                </c:pt>
                <c:pt idx="176">
                  <c:v>188.33689604161651</c:v>
                </c:pt>
                <c:pt idx="177">
                  <c:v>190.22248779113377</c:v>
                </c:pt>
                <c:pt idx="178">
                  <c:v>192.10551748994061</c:v>
                </c:pt>
                <c:pt idx="179">
                  <c:v>193.98598969577048</c:v>
                </c:pt>
                <c:pt idx="180">
                  <c:v>195.86390895093882</c:v>
                </c:pt>
                <c:pt idx="181">
                  <c:v>197.73927978241153</c:v>
                </c:pt>
                <c:pt idx="182">
                  <c:v>199.61210670187336</c:v>
                </c:pt>
                <c:pt idx="183">
                  <c:v>201.4823942057956</c:v>
                </c:pt>
                <c:pt idx="184">
                  <c:v>203.35014677550359</c:v>
                </c:pt>
                <c:pt idx="185">
                  <c:v>205.2153688772438</c:v>
                </c:pt>
                <c:pt idx="186">
                  <c:v>207.07806496225055</c:v>
                </c:pt>
                <c:pt idx="187">
                  <c:v>208.93823946681229</c:v>
                </c:pt>
                <c:pt idx="188">
                  <c:v>210.79589681233759</c:v>
                </c:pt>
                <c:pt idx="189">
                  <c:v>212.65104140542067</c:v>
                </c:pt>
                <c:pt idx="190">
                  <c:v>214.50367763790672</c:v>
                </c:pt>
                <c:pt idx="191">
                  <c:v>216.35380988695664</c:v>
                </c:pt>
                <c:pt idx="192">
                  <c:v>218.20144251511167</c:v>
                </c:pt>
                <c:pt idx="193">
                  <c:v>220.04657987035739</c:v>
                </c:pt>
                <c:pt idx="194">
                  <c:v>221.88922628618761</c:v>
                </c:pt>
                <c:pt idx="195">
                  <c:v>223.72938608166768</c:v>
                </c:pt>
                <c:pt idx="196">
                  <c:v>225.56706356149772</c:v>
                </c:pt>
                <c:pt idx="197">
                  <c:v>227.40226301607521</c:v>
                </c:pt>
                <c:pt idx="198">
                  <c:v>229.23498872155744</c:v>
                </c:pt>
                <c:pt idx="199">
                  <c:v>231.06524493992353</c:v>
                </c:pt>
                <c:pt idx="200">
                  <c:v>232.89303591903609</c:v>
                </c:pt>
                <c:pt idx="201">
                  <c:v>251.03568551352203</c:v>
                </c:pt>
                <c:pt idx="202">
                  <c:v>268.93453630754851</c:v>
                </c:pt>
                <c:pt idx="203">
                  <c:v>286.59370106166131</c:v>
                </c:pt>
                <c:pt idx="204">
                  <c:v>304.01715932046432</c:v>
                </c:pt>
                <c:pt idx="205">
                  <c:v>321.20876302032707</c:v>
                </c:pt>
                <c:pt idx="206">
                  <c:v>338.1722418002347</c:v>
                </c:pt>
                <c:pt idx="207">
                  <c:v>354.91120803451514</c:v>
                </c:pt>
                <c:pt idx="208">
                  <c:v>371.42916160480758</c:v>
                </c:pt>
                <c:pt idx="209">
                  <c:v>387.72949442737774</c:v>
                </c:pt>
                <c:pt idx="210">
                  <c:v>403.81549475073143</c:v>
                </c:pt>
                <c:pt idx="211">
                  <c:v>419.69035123741787</c:v>
                </c:pt>
                <c:pt idx="212">
                  <c:v>435.35715684293831</c:v>
                </c:pt>
                <c:pt idx="213">
                  <c:v>450.81891250377925</c:v>
                </c:pt>
                <c:pt idx="214">
                  <c:v>466.07853064576176</c:v>
                </c:pt>
                <c:pt idx="215">
                  <c:v>481.13883852313722</c:v>
                </c:pt>
                <c:pt idx="216">
                  <c:v>496.00258139815611</c:v>
                </c:pt>
                <c:pt idx="217">
                  <c:v>510.67242557018722</c:v>
                </c:pt>
                <c:pt idx="218">
                  <c:v>525.15096126286517</c:v>
                </c:pt>
                <c:pt idx="219">
                  <c:v>539.44070537718778</c:v>
                </c:pt>
                <c:pt idx="220">
                  <c:v>553.54410411797232</c:v>
                </c:pt>
                <c:pt idx="221">
                  <c:v>567.46353550060269</c:v>
                </c:pt>
                <c:pt idx="222">
                  <c:v>581.20131174455946</c:v>
                </c:pt>
                <c:pt idx="223">
                  <c:v>594.75968155981388</c:v>
                </c:pt>
                <c:pt idx="224">
                  <c:v>608.14083233178872</c:v>
                </c:pt>
                <c:pt idx="225">
                  <c:v>621.34689221023393</c:v>
                </c:pt>
                <c:pt idx="226">
                  <c:v>634.3799321070386</c:v>
                </c:pt>
                <c:pt idx="227">
                  <c:v>647.24196760769382</c:v>
                </c:pt>
                <c:pt idx="228">
                  <c:v>659.9349608008381</c:v>
                </c:pt>
                <c:pt idx="229">
                  <c:v>672.46082203005176</c:v>
                </c:pt>
                <c:pt idx="230">
                  <c:v>684.821411571819</c:v>
                </c:pt>
                <c:pt idx="231">
                  <c:v>697.01854124334807</c:v>
                </c:pt>
                <c:pt idx="232">
                  <c:v>709.05397594372312</c:v>
                </c:pt>
                <c:pt idx="233">
                  <c:v>720.92943513166256</c:v>
                </c:pt>
                <c:pt idx="234">
                  <c:v>732.64659424296929</c:v>
                </c:pt>
                <c:pt idx="235">
                  <c:v>744.20708605058508</c:v>
                </c:pt>
                <c:pt idx="236">
                  <c:v>755.61250196999583</c:v>
                </c:pt>
                <c:pt idx="237">
                  <c:v>766.86439331258123</c:v>
                </c:pt>
                <c:pt idx="238">
                  <c:v>777.9642724893597</c:v>
                </c:pt>
                <c:pt idx="239">
                  <c:v>788.91361416744326</c:v>
                </c:pt>
                <c:pt idx="240">
                  <c:v>799.71385638139236</c:v>
                </c:pt>
                <c:pt idx="241">
                  <c:v>810.36640160154025</c:v>
                </c:pt>
                <c:pt idx="242">
                  <c:v>820.87261776124831</c:v>
                </c:pt>
                <c:pt idx="243">
                  <c:v>831.23383924494556</c:v>
                </c:pt>
                <c:pt idx="244">
                  <c:v>841.45136783871135</c:v>
                </c:pt>
                <c:pt idx="245">
                  <c:v>851.52647364506561</c:v>
                </c:pt>
                <c:pt idx="246">
                  <c:v>861.46039596354501</c:v>
                </c:pt>
                <c:pt idx="247">
                  <c:v>871.2543441385626</c:v>
                </c:pt>
                <c:pt idx="248">
                  <c:v>880.90949837597054</c:v>
                </c:pt>
                <c:pt idx="249">
                  <c:v>890.42701052967459</c:v>
                </c:pt>
                <c:pt idx="250">
                  <c:v>899.80800485958002</c:v>
                </c:pt>
                <c:pt idx="251">
                  <c:v>909.05357876208473</c:v>
                </c:pt>
                <c:pt idx="252">
                  <c:v>918.16480347427557</c:v>
                </c:pt>
                <c:pt idx="253">
                  <c:v>927.14272475292569</c:v>
                </c:pt>
                <c:pt idx="254">
                  <c:v>935.98836352933756</c:v>
                </c:pt>
                <c:pt idx="255">
                  <c:v>944.70271654102601</c:v>
                </c:pt>
                <c:pt idx="256">
                  <c:v>953.28675694118658</c:v>
                </c:pt>
                <c:pt idx="257">
                  <c:v>961.74143488685024</c:v>
                </c:pt>
                <c:pt idx="258">
                  <c:v>970.06767810658221</c:v>
                </c:pt>
                <c:pt idx="259">
                  <c:v>978.26639244854175</c:v>
                </c:pt>
                <c:pt idx="260">
                  <c:v>986.33846240968307</c:v>
                </c:pt>
                <c:pt idx="261">
                  <c:v>994.28475164683925</c:v>
                </c:pt>
                <c:pt idx="262">
                  <c:v>1002.1061034703989</c:v>
                </c:pt>
                <c:pt idx="263">
                  <c:v>1009.8033413212518</c:v>
                </c:pt>
                <c:pt idx="264">
                  <c:v>1017.3772692316491</c:v>
                </c:pt>
                <c:pt idx="265">
                  <c:v>1024.8286722705955</c:v>
                </c:pt>
                <c:pt idx="266">
                  <c:v>1032.1583169743626</c:v>
                </c:pt>
                <c:pt idx="267">
                  <c:v>1039.3669517626879</c:v>
                </c:pt>
                <c:pt idx="268">
                  <c:v>1046.4553073411971</c:v>
                </c:pt>
                <c:pt idx="269">
                  <c:v>1053.4240970905671</c:v>
                </c:pt>
                <c:pt idx="270">
                  <c:v>1060.2740174429241</c:v>
                </c:pt>
                <c:pt idx="271">
                  <c:v>1067.0057482459481</c:v>
                </c:pt>
                <c:pt idx="272">
                  <c:v>1073.6199531151399</c:v>
                </c:pt>
                <c:pt idx="273">
                  <c:v>1080.1172797746847</c:v>
                </c:pt>
                <c:pt idx="274">
                  <c:v>1086.4983603873304</c:v>
                </c:pt>
                <c:pt idx="275">
                  <c:v>1092.7638118736825</c:v>
                </c:pt>
                <c:pt idx="276">
                  <c:v>1098.9142362213017</c:v>
                </c:pt>
                <c:pt idx="277">
                  <c:v>1104.9502207839757</c:v>
                </c:pt>
                <c:pt idx="278">
                  <c:v>1110.872338571523</c:v>
                </c:pt>
                <c:pt idx="279">
                  <c:v>1116.6811485304743</c:v>
                </c:pt>
                <c:pt idx="280">
                  <c:v>1122.3771958159673</c:v>
                </c:pt>
                <c:pt idx="281">
                  <c:v>1127.9610120551733</c:v>
                </c:pt>
                <c:pt idx="282">
                  <c:v>1133.433115602573</c:v>
                </c:pt>
                <c:pt idx="283">
                  <c:v>1138.7940117873825</c:v>
                </c:pt>
                <c:pt idx="284">
                  <c:v>1144.0441931534258</c:v>
                </c:pt>
                <c:pt idx="285">
                  <c:v>1149.1841396917414</c:v>
                </c:pt>
                <c:pt idx="286">
                  <c:v>1154.2143190662048</c:v>
                </c:pt>
                <c:pt idx="287">
                  <c:v>1159.135186832443</c:v>
                </c:pt>
                <c:pt idx="288">
                  <c:v>1163.9471866503125</c:v>
                </c:pt>
                <c:pt idx="289">
                  <c:v>1168.6507504902074</c:v>
                </c:pt>
                <c:pt idx="290">
                  <c:v>1173.2462988334648</c:v>
                </c:pt>
                <c:pt idx="291">
                  <c:v>1177.7342408671295</c:v>
                </c:pt>
                <c:pt idx="292">
                  <c:v>1182.1149746733431</c:v>
                </c:pt>
                <c:pt idx="293">
                  <c:v>1186.3888874136219</c:v>
                </c:pt>
                <c:pt idx="294">
                  <c:v>1190.5563555082904</c:v>
                </c:pt>
                <c:pt idx="295">
                  <c:v>1194.6177448113428</c:v>
                </c:pt>
                <c:pt idx="296">
                  <c:v>1198.5734107810081</c:v>
                </c:pt>
                <c:pt idx="297">
                  <c:v>1202.4236986463043</c:v>
                </c:pt>
                <c:pt idx="298">
                  <c:v>1206.1689435698759</c:v>
                </c:pt>
                <c:pt idx="299">
                  <c:v>1209.8094708074188</c:v>
                </c:pt>
                <c:pt idx="300">
                  <c:v>1213.3455958640129</c:v>
                </c:pt>
                <c:pt idx="301">
                  <c:v>1216.7776246476992</c:v>
                </c:pt>
                <c:pt idx="302">
                  <c:v>1220.1058536206554</c:v>
                </c:pt>
                <c:pt idx="303">
                  <c:v>1223.330569948349</c:v>
                </c:pt>
                <c:pt idx="304">
                  <c:v>1226.4520516470727</c:v>
                </c:pt>
                <c:pt idx="305">
                  <c:v>1229.4705677302945</c:v>
                </c:pt>
                <c:pt idx="306">
                  <c:v>1232.3863783542913</c:v>
                </c:pt>
                <c:pt idx="307">
                  <c:v>1235.1997349635717</c:v>
                </c:pt>
                <c:pt idx="308">
                  <c:v>1237.9108804366369</c:v>
                </c:pt>
                <c:pt idx="309">
                  <c:v>1240.5200492326746</c:v>
                </c:pt>
                <c:pt idx="310">
                  <c:v>1243.0274675398355</c:v>
                </c:pt>
                <c:pt idx="311">
                  <c:v>1245.4333534257978</c:v>
                </c:pt>
                <c:pt idx="312">
                  <c:v>1247.7379169913879</c:v>
                </c:pt>
                <c:pt idx="313">
                  <c:v>1249.9413605280918</c:v>
                </c:pt>
                <c:pt idx="314">
                  <c:v>1252.0438786803609</c:v>
                </c:pt>
                <c:pt idx="315">
                  <c:v>1254.0456586136913</c:v>
                </c:pt>
                <c:pt idx="316">
                  <c:v>1255.9468801895273</c:v>
                </c:pt>
                <c:pt idx="317">
                  <c:v>1257.7477161481102</c:v>
                </c:pt>
                <c:pt idx="318">
                  <c:v>1259.448332300469</c:v>
                </c:pt>
                <c:pt idx="319">
                  <c:v>1261.0488877308003</c:v>
                </c:pt>
                <c:pt idx="320">
                  <c:v>1262.549535010538</c:v>
                </c:pt>
                <c:pt idx="321">
                  <c:v>1263.9504204254413</c:v>
                </c:pt>
                <c:pt idx="322">
                  <c:v>1265.2516842170298</c:v>
                </c:pt>
                <c:pt idx="323">
                  <c:v>1266.4534608396687</c:v>
                </c:pt>
                <c:pt idx="324">
                  <c:v>1267.5558792345321</c:v>
                </c:pt>
                <c:pt idx="325">
                  <c:v>1268.5590631215575</c:v>
                </c:pt>
                <c:pt idx="326">
                  <c:v>1269.4631313103207</c:v>
                </c:pt>
                <c:pt idx="327">
                  <c:v>1270.2681980305276</c:v>
                </c:pt>
                <c:pt idx="328">
                  <c:v>1270.9743732825063</c:v>
                </c:pt>
                <c:pt idx="329">
                  <c:v>1271.581763207711</c:v>
                </c:pt>
                <c:pt idx="330">
                  <c:v>1272.0904704788122</c:v>
                </c:pt>
                <c:pt idx="331">
                  <c:v>1272.5005947084585</c:v>
                </c:pt>
                <c:pt idx="332">
                  <c:v>1272.8122328752654</c:v>
                </c:pt>
                <c:pt idx="333">
                  <c:v>1273.0254797650553</c:v>
                </c:pt>
                <c:pt idx="334">
                  <c:v>1273.1404284248381</c:v>
                </c:pt>
                <c:pt idx="335">
                  <c:v>1273.1571706265424</c:v>
                </c:pt>
                <c:pt idx="336">
                  <c:v>1273.0757973370996</c:v>
                </c:pt>
                <c:pt idx="337">
                  <c:v>1272.8963991911698</c:v>
                </c:pt>
                <c:pt idx="338">
                  <c:v>1272.6190669626224</c:v>
                </c:pt>
                <c:pt idx="339">
                  <c:v>1272.2438920308314</c:v>
                </c:pt>
                <c:pt idx="340">
                  <c:v>1271.7709668379459</c:v>
                </c:pt>
                <c:pt idx="341">
                  <c:v>1271.2003853335232</c:v>
                </c:pt>
                <c:pt idx="342">
                  <c:v>1270.5322434032605</c:v>
                </c:pt>
                <c:pt idx="343">
                  <c:v>1269.7666392790013</c:v>
                </c:pt>
                <c:pt idx="344">
                  <c:v>1268.903673927698</c:v>
                </c:pt>
                <c:pt idx="345">
                  <c:v>1267.9434514175471</c:v>
                </c:pt>
                <c:pt idx="346">
                  <c:v>1266.886079260056</c:v>
                </c:pt>
                <c:pt idx="347">
                  <c:v>1265.7316687273185</c:v>
                </c:pt>
                <c:pt idx="348">
                  <c:v>1264.4803351442451</c:v>
                </c:pt>
                <c:pt idx="349">
                  <c:v>1263.1321981559211</c:v>
                </c:pt>
                <c:pt idx="350">
                  <c:v>1261.6873819706043</c:v>
                </c:pt>
                <c:pt idx="351">
                  <c:v>1260.1460155791683</c:v>
                </c:pt>
                <c:pt idx="352">
                  <c:v>1258.5082329520012</c:v>
                </c:pt>
                <c:pt idx="353">
                  <c:v>1256.7741732145325</c:v>
                </c:pt>
                <c:pt idx="354">
                  <c:v>1254.9439808026507</c:v>
                </c:pt>
                <c:pt idx="355">
                  <c:v>1253.0178055993294</c:v>
                </c:pt>
                <c:pt idx="356">
                  <c:v>1250.9958030537898</c:v>
                </c:pt>
                <c:pt idx="357">
                  <c:v>1248.8781342845086</c:v>
                </c:pt>
                <c:pt idx="358">
                  <c:v>1246.6649661673403</c:v>
                </c:pt>
                <c:pt idx="359">
                  <c:v>1244.3564714099632</c:v>
                </c:pt>
                <c:pt idx="360">
                  <c:v>1241.9528286137918</c:v>
                </c:pt>
                <c:pt idx="361">
                  <c:v>1239.4542223244173</c:v>
                </c:pt>
                <c:pt idx="362">
                  <c:v>1236.860843071569</c:v>
                </c:pt>
                <c:pt idx="363">
                  <c:v>1234.1728873994991</c:v>
                </c:pt>
                <c:pt idx="364">
                  <c:v>1231.3905578886274</c:v>
                </c:pt>
                <c:pt idx="365">
                  <c:v>1228.5140631692004</c:v>
                </c:pt>
                <c:pt idx="366">
                  <c:v>1225.5436179276544</c:v>
                </c:pt>
                <c:pt idx="367">
                  <c:v>1222.479442906307</c:v>
                </c:pt>
                <c:pt idx="368">
                  <c:v>1219.3217648969378</c:v>
                </c:pt>
                <c:pt idx="369">
                  <c:v>1216.0708167287701</c:v>
                </c:pt>
                <c:pt idx="370">
                  <c:v>1212.7268372513095</c:v>
                </c:pt>
                <c:pt idx="371">
                  <c:v>1209.2900713124538</c:v>
                </c:pt>
                <c:pt idx="372">
                  <c:v>1205.7607697322471</c:v>
                </c:pt>
                <c:pt idx="373">
                  <c:v>1202.1391892726119</c:v>
                </c:pt>
                <c:pt idx="374">
                  <c:v>1198.4255926033647</c:v>
                </c:pt>
                <c:pt idx="375">
                  <c:v>1194.6202482647864</c:v>
                </c:pt>
                <c:pt idx="376">
                  <c:v>1190.7234306269947</c:v>
                </c:pt>
                <c:pt idx="377">
                  <c:v>1186.7354198463445</c:v>
                </c:pt>
                <c:pt idx="378">
                  <c:v>1182.6565018190565</c:v>
                </c:pt>
                <c:pt idx="379">
                  <c:v>1178.4869681322621</c:v>
                </c:pt>
                <c:pt idx="380">
                  <c:v>1174.2271160126279</c:v>
                </c:pt>
                <c:pt idx="381">
                  <c:v>1169.8772482727202</c:v>
                </c:pt>
                <c:pt idx="382">
                  <c:v>1165.437673255243</c:v>
                </c:pt>
                <c:pt idx="383">
                  <c:v>1160.9087047752851</c:v>
                </c:pt>
                <c:pt idx="384">
                  <c:v>1156.2906620606911</c:v>
                </c:pt>
                <c:pt idx="385">
                  <c:v>1151.5838696906696</c:v>
                </c:pt>
                <c:pt idx="386">
                  <c:v>1146.7886575327373</c:v>
                </c:pt>
                <c:pt idx="387">
                  <c:v>1141.9053606780967</c:v>
                </c:pt>
                <c:pt idx="388">
                  <c:v>1136.9343193755356</c:v>
                </c:pt>
                <c:pt idx="389">
                  <c:v>1131.8758789639296</c:v>
                </c:pt>
                <c:pt idx="390">
                  <c:v>1126.7303898034277</c:v>
                </c:pt>
                <c:pt idx="391">
                  <c:v>1121.4982072053917</c:v>
                </c:pt>
                <c:pt idx="392">
                  <c:v>1116.1796913611624</c:v>
                </c:pt>
                <c:pt idx="393">
                  <c:v>1110.7752072697147</c:v>
                </c:pt>
                <c:pt idx="394">
                  <c:v>1105.2851246642663</c:v>
                </c:pt>
                <c:pt idx="395">
                  <c:v>1099.7098179378997</c:v>
                </c:pt>
                <c:pt idx="396">
                  <c:v>1094.0496660682527</c:v>
                </c:pt>
                <c:pt idx="397">
                  <c:v>1088.3050525413341</c:v>
                </c:pt>
                <c:pt idx="398">
                  <c:v>1082.4763652745169</c:v>
                </c:pt>
                <c:pt idx="399">
                  <c:v>1076.5639965387579</c:v>
                </c:pt>
                <c:pt idx="400">
                  <c:v>1070.5683428800955</c:v>
                </c:pt>
                <c:pt idx="401">
                  <c:v>1064.4898050404704</c:v>
                </c:pt>
                <c:pt idx="402">
                  <c:v>1058.3287878779158</c:v>
                </c:pt>
                <c:pt idx="403">
                  <c:v>1052.085700286164</c:v>
                </c:pt>
                <c:pt idx="404">
                  <c:v>1045.760955113708</c:v>
                </c:pt>
                <c:pt idx="405">
                  <c:v>1039.3549690823656</c:v>
                </c:pt>
                <c:pt idx="406">
                  <c:v>1032.8681627053838</c:v>
                </c:pt>
                <c:pt idx="407">
                  <c:v>1026.3009602051234</c:v>
                </c:pt>
                <c:pt idx="408">
                  <c:v>1019.6537894303656</c:v>
                </c:pt>
                <c:pt idx="409">
                  <c:v>1012.9270817732776</c:v>
                </c:pt>
                <c:pt idx="410">
                  <c:v>1006.1212720860739</c:v>
                </c:pt>
                <c:pt idx="411">
                  <c:v>999.23679859741219</c:v>
                </c:pt>
                <c:pt idx="412">
                  <c:v>992.27410282855794</c:v>
                </c:pt>
                <c:pt idx="413">
                  <c:v>985.23362950935439</c:v>
                </c:pt>
                <c:pt idx="414">
                  <c:v>978.11582649403226</c:v>
                </c:pt>
                <c:pt idx="415">
                  <c:v>970.92114467689339</c:v>
                </c:pt>
                <c:pt idx="416">
                  <c:v>963.65003790790161</c:v>
                </c:pt>
                <c:pt idx="417">
                  <c:v>956.30296290821366</c:v>
                </c:pt>
                <c:pt idx="418">
                  <c:v>948.88037918568239</c:v>
                </c:pt>
                <c:pt idx="419">
                  <c:v>941.38274895036454</c:v>
                </c:pt>
                <c:pt idx="420">
                  <c:v>933.8105370300633</c:v>
                </c:pt>
                <c:pt idx="421">
                  <c:v>926.16421078593646</c:v>
                </c:pt>
                <c:pt idx="422">
                  <c:v>918.44424002820074</c:v>
                </c:pt>
                <c:pt idx="423">
                  <c:v>910.65109693196052</c:v>
                </c:pt>
                <c:pt idx="424">
                  <c:v>902.78525595319127</c:v>
                </c:pt>
                <c:pt idx="425">
                  <c:v>894.84719374490476</c:v>
                </c:pt>
                <c:pt idx="426">
                  <c:v>886.83738907352461</c:v>
                </c:pt>
                <c:pt idx="427">
                  <c:v>878.756322735499</c:v>
                </c:pt>
                <c:pt idx="428">
                  <c:v>870.60447747417766</c:v>
                </c:pt>
                <c:pt idx="429">
                  <c:v>862.38233789697881</c:v>
                </c:pt>
                <c:pt idx="430">
                  <c:v>854.09039039287234</c:v>
                </c:pt>
                <c:pt idx="431">
                  <c:v>845.72912305020327</c:v>
                </c:pt>
                <c:pt idx="432">
                  <c:v>837.29902557488151</c:v>
                </c:pt>
                <c:pt idx="433">
                  <c:v>828.80058920896067</c:v>
                </c:pt>
                <c:pt idx="434">
                  <c:v>820.23430664962996</c:v>
                </c:pt>
                <c:pt idx="435">
                  <c:v>811.60067196864213</c:v>
                </c:pt>
                <c:pt idx="436">
                  <c:v>802.90018053219978</c:v>
                </c:pt>
                <c:pt idx="437">
                  <c:v>794.13332892132189</c:v>
                </c:pt>
                <c:pt idx="438">
                  <c:v>785.30061485271153</c:v>
                </c:pt>
                <c:pt idx="439">
                  <c:v>776.40253710014679</c:v>
                </c:pt>
                <c:pt idx="440">
                  <c:v>767.43959541641311</c:v>
                </c:pt>
                <c:pt idx="441">
                  <c:v>758.41229045579882</c:v>
                </c:pt>
                <c:pt idx="442">
                  <c:v>749.32112369717174</c:v>
                </c:pt>
                <c:pt idx="443">
                  <c:v>740.16659736765553</c:v>
                </c:pt>
                <c:pt idx="444">
                  <c:v>730.94921436692437</c:v>
                </c:pt>
                <c:pt idx="445">
                  <c:v>721.66947819213317</c:v>
                </c:pt>
                <c:pt idx="446">
                  <c:v>712.32789286350044</c:v>
                </c:pt>
                <c:pt idx="447">
                  <c:v>702.92496285055984</c:v>
                </c:pt>
                <c:pt idx="448">
                  <c:v>693.46119299909662</c:v>
                </c:pt>
                <c:pt idx="449">
                  <c:v>683.93708845878473</c:v>
                </c:pt>
                <c:pt idx="450">
                  <c:v>674.35315461153823</c:v>
                </c:pt>
                <c:pt idx="451">
                  <c:v>664.70989700059249</c:v>
                </c:pt>
                <c:pt idx="452">
                  <c:v>655.007821260328</c:v>
                </c:pt>
                <c:pt idx="453">
                  <c:v>645.24743304685069</c:v>
                </c:pt>
                <c:pt idx="454">
                  <c:v>635.42923796934076</c:v>
                </c:pt>
                <c:pt idx="455">
                  <c:v>625.55374152218303</c:v>
                </c:pt>
                <c:pt idx="456">
                  <c:v>615.62144901788895</c:v>
                </c:pt>
                <c:pt idx="457">
                  <c:v>605.63286552082309</c:v>
                </c:pt>
                <c:pt idx="458">
                  <c:v>595.58849578174363</c:v>
                </c:pt>
                <c:pt idx="459">
                  <c:v>585.48884417316674</c:v>
                </c:pt>
                <c:pt idx="460">
                  <c:v>575.33441462556516</c:v>
                </c:pt>
                <c:pt idx="461">
                  <c:v>565.12571056440913</c:v>
                </c:pt>
                <c:pt idx="462">
                  <c:v>554.86323484805916</c:v>
                </c:pt>
                <c:pt idx="463">
                  <c:v>544.54748970651758</c:v>
                </c:pt>
                <c:pt idx="464">
                  <c:v>534.17897668104729</c:v>
                </c:pt>
                <c:pt idx="465">
                  <c:v>523.75819656466399</c:v>
                </c:pt>
                <c:pt idx="466">
                  <c:v>513.28564934350902</c:v>
                </c:pt>
                <c:pt idx="467">
                  <c:v>502.76183413910854</c:v>
                </c:pt>
                <c:pt idx="468">
                  <c:v>492.18724915152472</c:v>
                </c:pt>
                <c:pt idx="469">
                  <c:v>481.56239160340408</c:v>
                </c:pt>
                <c:pt idx="470">
                  <c:v>470.88775768492741</c:v>
                </c:pt>
                <c:pt idx="471">
                  <c:v>460.16384249966586</c:v>
                </c:pt>
                <c:pt idx="472">
                  <c:v>449.39114001134647</c:v>
                </c:pt>
                <c:pt idx="473">
                  <c:v>438.57014299153076</c:v>
                </c:pt>
                <c:pt idx="474">
                  <c:v>427.70134296820919</c:v>
                </c:pt>
                <c:pt idx="475">
                  <c:v>416.7852301753137</c:v>
                </c:pt>
                <c:pt idx="476">
                  <c:v>405.82229350315055</c:v>
                </c:pt>
                <c:pt idx="477">
                  <c:v>394.8130204497549</c:v>
                </c:pt>
                <c:pt idx="478">
                  <c:v>383.75789707316841</c:v>
                </c:pt>
                <c:pt idx="479">
                  <c:v>372.65740794464057</c:v>
                </c:pt>
                <c:pt idx="480">
                  <c:v>361.51203610275388</c:v>
                </c:pt>
                <c:pt idx="481">
                  <c:v>350.3222630084735</c:v>
                </c:pt>
                <c:pt idx="482">
                  <c:v>339.08856850112011</c:v>
                </c:pt>
                <c:pt idx="483">
                  <c:v>327.8114307552658</c:v>
                </c:pt>
                <c:pt idx="484">
                  <c:v>316.49132623855189</c:v>
                </c:pt>
                <c:pt idx="485">
                  <c:v>305.12872967042671</c:v>
                </c:pt>
                <c:pt idx="486">
                  <c:v>293.72411398180168</c:v>
                </c:pt>
                <c:pt idx="487">
                  <c:v>282.27795027562382</c:v>
                </c:pt>
                <c:pt idx="488">
                  <c:v>270.79070778836177</c:v>
                </c:pt>
                <c:pt idx="489">
                  <c:v>259.26285385240249</c:v>
                </c:pt>
                <c:pt idx="490">
                  <c:v>247.6948538593557</c:v>
                </c:pt>
                <c:pt idx="491">
                  <c:v>236.08717122426236</c:v>
                </c:pt>
                <c:pt idx="492">
                  <c:v>224.44026735070344</c:v>
                </c:pt>
                <c:pt idx="493">
                  <c:v>212.75460159680506</c:v>
                </c:pt>
                <c:pt idx="494">
                  <c:v>201.03063124213537</c:v>
                </c:pt>
                <c:pt idx="495">
                  <c:v>189.26881145548873</c:v>
                </c:pt>
                <c:pt idx="496">
                  <c:v>177.46959526355215</c:v>
                </c:pt>
                <c:pt idx="497">
                  <c:v>165.63343352044893</c:v>
                </c:pt>
                <c:pt idx="498">
                  <c:v>153.76077487815394</c:v>
                </c:pt>
                <c:pt idx="499">
                  <c:v>141.85206575777497</c:v>
                </c:pt>
                <c:pt idx="500">
                  <c:v>129.90775032169415</c:v>
                </c:pt>
                <c:pt idx="501">
                  <c:v>117.92827044656339</c:v>
                </c:pt>
                <c:pt idx="502">
                  <c:v>105.91406569714735</c:v>
                </c:pt>
                <c:pt idx="503">
                  <c:v>93.865573301007515</c:v>
                </c:pt>
                <c:pt idx="504">
                  <c:v>81.783228124020482</c:v>
                </c:pt>
                <c:pt idx="505">
                  <c:v>69.667462646723493</c:v>
                </c:pt>
                <c:pt idx="506">
                  <c:v>57.518706941480069</c:v>
                </c:pt>
                <c:pt idx="507">
                  <c:v>45.337388650458387</c:v>
                </c:pt>
                <c:pt idx="508">
                  <c:v>33.123932964414863</c:v>
                </c:pt>
                <c:pt idx="509">
                  <c:v>20.878762602275266</c:v>
                </c:pt>
                <c:pt idx="510">
                  <c:v>8.602297791505455</c:v>
                </c:pt>
                <c:pt idx="511">
                  <c:v>-3.7050437507362108</c:v>
                </c:pt>
                <c:pt idx="512">
                  <c:v>-3.7173664416571324</c:v>
                </c:pt>
                <c:pt idx="513">
                  <c:v>-3.7296891628324311</c:v>
                </c:pt>
                <c:pt idx="514">
                  <c:v>-3.7420119142616972</c:v>
                </c:pt>
                <c:pt idx="515">
                  <c:v>-3.7543346959445199</c:v>
                </c:pt>
                <c:pt idx="516">
                  <c:v>-3.7666575078804887</c:v>
                </c:pt>
                <c:pt idx="517">
                  <c:v>-3.7789803500691934</c:v>
                </c:pt>
                <c:pt idx="518">
                  <c:v>-3.7913032225102237</c:v>
                </c:pt>
                <c:pt idx="519">
                  <c:v>-3.8036261252031691</c:v>
                </c:pt>
                <c:pt idx="520">
                  <c:v>-3.815949058147619</c:v>
                </c:pt>
                <c:pt idx="521">
                  <c:v>-3.8282720213431634</c:v>
                </c:pt>
                <c:pt idx="522">
                  <c:v>-3.8405950147893919</c:v>
                </c:pt>
                <c:pt idx="523">
                  <c:v>-3.8529180384858939</c:v>
                </c:pt>
                <c:pt idx="524">
                  <c:v>-3.8652410924322593</c:v>
                </c:pt>
                <c:pt idx="525">
                  <c:v>-3.8775641766280775</c:v>
                </c:pt>
                <c:pt idx="526">
                  <c:v>-3.8898872910729385</c:v>
                </c:pt>
                <c:pt idx="527">
                  <c:v>-3.9022104357664316</c:v>
                </c:pt>
                <c:pt idx="528">
                  <c:v>-3.9145336107081463</c:v>
                </c:pt>
                <c:pt idx="529">
                  <c:v>-3.9268568158976724</c:v>
                </c:pt>
                <c:pt idx="530">
                  <c:v>-3.9391800513346</c:v>
                </c:pt>
                <c:pt idx="531">
                  <c:v>-3.9515033170185183</c:v>
                </c:pt>
                <c:pt idx="532">
                  <c:v>-3.9638266129490169</c:v>
                </c:pt>
                <c:pt idx="533">
                  <c:v>-3.9761499391256856</c:v>
                </c:pt>
                <c:pt idx="534">
                  <c:v>-3.9884732955481144</c:v>
                </c:pt>
                <c:pt idx="535">
                  <c:v>-4.000796682215892</c:v>
                </c:pt>
                <c:pt idx="536">
                  <c:v>-4.0131200991286091</c:v>
                </c:pt>
                <c:pt idx="537">
                  <c:v>-4.0254435462858549</c:v>
                </c:pt>
                <c:pt idx="538">
                  <c:v>-4.037767023687219</c:v>
                </c:pt>
                <c:pt idx="539">
                  <c:v>-4.0500905313322919</c:v>
                </c:pt>
                <c:pt idx="540">
                  <c:v>-4.0624140692206625</c:v>
                </c:pt>
                <c:pt idx="541">
                  <c:v>-4.0747376373519204</c:v>
                </c:pt>
                <c:pt idx="542">
                  <c:v>-4.0870612357256553</c:v>
                </c:pt>
                <c:pt idx="543">
                  <c:v>-4.0993848643414568</c:v>
                </c:pt>
                <c:pt idx="544">
                  <c:v>-4.1117085231989154</c:v>
                </c:pt>
                <c:pt idx="545">
                  <c:v>-4.1240322122976201</c:v>
                </c:pt>
                <c:pt idx="546">
                  <c:v>-4.1363559316371603</c:v>
                </c:pt>
                <c:pt idx="547">
                  <c:v>-4.1486796812171267</c:v>
                </c:pt>
                <c:pt idx="548">
                  <c:v>-4.1610034610371081</c:v>
                </c:pt>
                <c:pt idx="549">
                  <c:v>-4.1733272710966949</c:v>
                </c:pt>
                <c:pt idx="550">
                  <c:v>-4.185651111395476</c:v>
                </c:pt>
                <c:pt idx="551">
                  <c:v>-4.1979749819330419</c:v>
                </c:pt>
                <c:pt idx="552">
                  <c:v>-4.2102988827089813</c:v>
                </c:pt>
                <c:pt idx="553">
                  <c:v>-4.2226228137228849</c:v>
                </c:pt>
                <c:pt idx="554">
                  <c:v>-4.2349467749743424</c:v>
                </c:pt>
                <c:pt idx="555">
                  <c:v>-4.2472707664629423</c:v>
                </c:pt>
                <c:pt idx="556">
                  <c:v>-4.2595947881882754</c:v>
                </c:pt>
                <c:pt idx="557">
                  <c:v>-4.2719188401499313</c:v>
                </c:pt>
                <c:pt idx="558">
                  <c:v>-4.2842429223474996</c:v>
                </c:pt>
                <c:pt idx="559">
                  <c:v>-4.29656703478057</c:v>
                </c:pt>
                <c:pt idx="560">
                  <c:v>-4.3088911774487322</c:v>
                </c:pt>
                <c:pt idx="561">
                  <c:v>-4.3212153503515758</c:v>
                </c:pt>
                <c:pt idx="562">
                  <c:v>-4.3335395534886914</c:v>
                </c:pt>
                <c:pt idx="563">
                  <c:v>-4.3458637868596677</c:v>
                </c:pt>
                <c:pt idx="564">
                  <c:v>-4.3581880504640953</c:v>
                </c:pt>
                <c:pt idx="565">
                  <c:v>-4.370512344301563</c:v>
                </c:pt>
                <c:pt idx="566">
                  <c:v>-4.3828366683716613</c:v>
                </c:pt>
                <c:pt idx="567">
                  <c:v>-4.395161022673979</c:v>
                </c:pt>
                <c:pt idx="568">
                  <c:v>-4.4074854072081067</c:v>
                </c:pt>
                <c:pt idx="569">
                  <c:v>-4.4198098219736339</c:v>
                </c:pt>
                <c:pt idx="570">
                  <c:v>-4.4321342669701504</c:v>
                </c:pt>
                <c:pt idx="571">
                  <c:v>-4.4444587421972459</c:v>
                </c:pt>
                <c:pt idx="572">
                  <c:v>-4.4567832476545108</c:v>
                </c:pt>
                <c:pt idx="573">
                  <c:v>-4.469107783341534</c:v>
                </c:pt>
                <c:pt idx="574">
                  <c:v>-4.4814323492579051</c:v>
                </c:pt>
                <c:pt idx="575">
                  <c:v>-4.4937569454032147</c:v>
                </c:pt>
                <c:pt idx="576">
                  <c:v>-4.5060815717770524</c:v>
                </c:pt>
                <c:pt idx="577">
                  <c:v>-4.518406228379007</c:v>
                </c:pt>
                <c:pt idx="578">
                  <c:v>-4.530730915208669</c:v>
                </c:pt>
                <c:pt idx="579">
                  <c:v>-4.5430556322656281</c:v>
                </c:pt>
                <c:pt idx="580">
                  <c:v>-4.5553803795494749</c:v>
                </c:pt>
                <c:pt idx="581">
                  <c:v>-4.5677051570597982</c:v>
                </c:pt>
                <c:pt idx="582">
                  <c:v>-4.5800299647961875</c:v>
                </c:pt>
                <c:pt idx="583">
                  <c:v>-4.5923548027582335</c:v>
                </c:pt>
                <c:pt idx="584">
                  <c:v>-4.6046796709455258</c:v>
                </c:pt>
                <c:pt idx="585">
                  <c:v>-4.617004569357654</c:v>
                </c:pt>
                <c:pt idx="586">
                  <c:v>-4.6293294979942079</c:v>
                </c:pt>
                <c:pt idx="587">
                  <c:v>-4.6416544568547771</c:v>
                </c:pt>
                <c:pt idx="588">
                  <c:v>-4.6539794459389512</c:v>
                </c:pt>
                <c:pt idx="589">
                  <c:v>-4.6663044652463208</c:v>
                </c:pt>
                <c:pt idx="590">
                  <c:v>-4.6786295147764756</c:v>
                </c:pt>
                <c:pt idx="591">
                  <c:v>-4.6909545945290043</c:v>
                </c:pt>
                <c:pt idx="592">
                  <c:v>-4.7032797045034975</c:v>
                </c:pt>
                <c:pt idx="593">
                  <c:v>-4.7156048446995458</c:v>
                </c:pt>
                <c:pt idx="594">
                  <c:v>-4.7279300151167378</c:v>
                </c:pt>
                <c:pt idx="595">
                  <c:v>-4.7402552157546634</c:v>
                </c:pt>
                <c:pt idx="596">
                  <c:v>-4.7525804466129129</c:v>
                </c:pt>
                <c:pt idx="597">
                  <c:v>-4.7649057076910761</c:v>
                </c:pt>
                <c:pt idx="598">
                  <c:v>-4.7772309989887427</c:v>
                </c:pt>
                <c:pt idx="599">
                  <c:v>-4.7895563205055023</c:v>
                </c:pt>
                <c:pt idx="600">
                  <c:v>-4.8018816722409454</c:v>
                </c:pt>
                <c:pt idx="601">
                  <c:v>-4.8142070541946609</c:v>
                </c:pt>
                <c:pt idx="602">
                  <c:v>-4.8265324663662392</c:v>
                </c:pt>
                <c:pt idx="603">
                  <c:v>-4.8388579087552701</c:v>
                </c:pt>
                <c:pt idx="604">
                  <c:v>-4.8511833813613432</c:v>
                </c:pt>
                <c:pt idx="605">
                  <c:v>-4.863508884184049</c:v>
                </c:pt>
                <c:pt idx="606">
                  <c:v>-4.8758344172229764</c:v>
                </c:pt>
                <c:pt idx="607">
                  <c:v>-4.8881599804777158</c:v>
                </c:pt>
                <c:pt idx="608">
                  <c:v>-4.900485573947857</c:v>
                </c:pt>
                <c:pt idx="609">
                  <c:v>-4.9128111976329905</c:v>
                </c:pt>
                <c:pt idx="610">
                  <c:v>-4.925136851532705</c:v>
                </c:pt>
                <c:pt idx="611">
                  <c:v>-4.9374625356465911</c:v>
                </c:pt>
                <c:pt idx="612">
                  <c:v>-4.9497882499742385</c:v>
                </c:pt>
                <c:pt idx="613">
                  <c:v>-4.9621139945152368</c:v>
                </c:pt>
                <c:pt idx="614">
                  <c:v>-4.9744397692691757</c:v>
                </c:pt>
                <c:pt idx="615">
                  <c:v>-4.9867655742356458</c:v>
                </c:pt>
                <c:pt idx="616">
                  <c:v>-4.9990914094142367</c:v>
                </c:pt>
                <c:pt idx="617">
                  <c:v>-5.011417274804538</c:v>
                </c:pt>
                <c:pt idx="618">
                  <c:v>-5.0237431704061395</c:v>
                </c:pt>
                <c:pt idx="619">
                  <c:v>-5.0360690962186307</c:v>
                </c:pt>
                <c:pt idx="620">
                  <c:v>-5.0483950522416023</c:v>
                </c:pt>
                <c:pt idx="621">
                  <c:v>-5.0607210384746439</c:v>
                </c:pt>
                <c:pt idx="622">
                  <c:v>-5.0730470549173461</c:v>
                </c:pt>
                <c:pt idx="623">
                  <c:v>-5.0853731015692976</c:v>
                </c:pt>
                <c:pt idx="624">
                  <c:v>-5.0976991784300889</c:v>
                </c:pt>
                <c:pt idx="625">
                  <c:v>-5.1100252854993098</c:v>
                </c:pt>
                <c:pt idx="626">
                  <c:v>-5.1223514227765499</c:v>
                </c:pt>
                <c:pt idx="627">
                  <c:v>-5.1346775902613997</c:v>
                </c:pt>
                <c:pt idx="628">
                  <c:v>-5.1470037879534489</c:v>
                </c:pt>
                <c:pt idx="629">
                  <c:v>-5.1593300158522872</c:v>
                </c:pt>
                <c:pt idx="630">
                  <c:v>-5.1716562739575043</c:v>
                </c:pt>
                <c:pt idx="631">
                  <c:v>-5.1839825622686906</c:v>
                </c:pt>
                <c:pt idx="632">
                  <c:v>-5.1963088807854358</c:v>
                </c:pt>
                <c:pt idx="633">
                  <c:v>-5.2086352295073297</c:v>
                </c:pt>
                <c:pt idx="634">
                  <c:v>-5.2209616084339627</c:v>
                </c:pt>
                <c:pt idx="635">
                  <c:v>-5.2332880175649246</c:v>
                </c:pt>
                <c:pt idx="636">
                  <c:v>-5.2456144568998049</c:v>
                </c:pt>
                <c:pt idx="637">
                  <c:v>-5.2579409264381933</c:v>
                </c:pt>
                <c:pt idx="638">
                  <c:v>-5.2702674261796805</c:v>
                </c:pt>
                <c:pt idx="639">
                  <c:v>-5.282593956123856</c:v>
                </c:pt>
                <c:pt idx="640">
                  <c:v>-5.2949205162703095</c:v>
                </c:pt>
                <c:pt idx="641">
                  <c:v>-5.3072471066186315</c:v>
                </c:pt>
                <c:pt idx="642">
                  <c:v>-5.3195737271684118</c:v>
                </c:pt>
                <c:pt idx="643">
                  <c:v>-5.33190037791924</c:v>
                </c:pt>
                <c:pt idx="644">
                  <c:v>-5.3442270588707057</c:v>
                </c:pt>
                <c:pt idx="645">
                  <c:v>-5.3565537700223995</c:v>
                </c:pt>
                <c:pt idx="646">
                  <c:v>-5.3688805113739111</c:v>
                </c:pt>
                <c:pt idx="647">
                  <c:v>-5.381207282924831</c:v>
                </c:pt>
                <c:pt idx="648">
                  <c:v>-5.3935340846747488</c:v>
                </c:pt>
                <c:pt idx="649">
                  <c:v>-5.4058609166232543</c:v>
                </c:pt>
                <c:pt idx="650">
                  <c:v>-5.4181877787699371</c:v>
                </c:pt>
                <c:pt idx="651">
                  <c:v>-5.4305146711143877</c:v>
                </c:pt>
                <c:pt idx="652">
                  <c:v>-5.4428415936561958</c:v>
                </c:pt>
                <c:pt idx="653">
                  <c:v>-5.455168546394952</c:v>
                </c:pt>
                <c:pt idx="654">
                  <c:v>-5.4674955293302459</c:v>
                </c:pt>
                <c:pt idx="655">
                  <c:v>-5.4798225424616671</c:v>
                </c:pt>
                <c:pt idx="656">
                  <c:v>-5.4921495857888054</c:v>
                </c:pt>
                <c:pt idx="657">
                  <c:v>-5.5044766593112513</c:v>
                </c:pt>
                <c:pt idx="658">
                  <c:v>-5.5168037630285953</c:v>
                </c:pt>
                <c:pt idx="659">
                  <c:v>-5.5291308969404263</c:v>
                </c:pt>
                <c:pt idx="660">
                  <c:v>-5.5414580610463346</c:v>
                </c:pt>
                <c:pt idx="661">
                  <c:v>-5.5537852553459102</c:v>
                </c:pt>
                <c:pt idx="662">
                  <c:v>-5.5661124798387434</c:v>
                </c:pt>
                <c:pt idx="663">
                  <c:v>-5.5784397345244239</c:v>
                </c:pt>
                <c:pt idx="664">
                  <c:v>-5.5907670194025423</c:v>
                </c:pt>
                <c:pt idx="665">
                  <c:v>-5.6030943344726873</c:v>
                </c:pt>
                <c:pt idx="666">
                  <c:v>-5.6154216797344496</c:v>
                </c:pt>
                <c:pt idx="667">
                  <c:v>-5.6277490551874196</c:v>
                </c:pt>
                <c:pt idx="668">
                  <c:v>-5.6400764608311871</c:v>
                </c:pt>
                <c:pt idx="669">
                  <c:v>-5.6524038966653416</c:v>
                </c:pt>
                <c:pt idx="670">
                  <c:v>-5.6647313626894737</c:v>
                </c:pt>
                <c:pt idx="671">
                  <c:v>-5.6770588589031732</c:v>
                </c:pt>
                <c:pt idx="672">
                  <c:v>-5.6893863853060305</c:v>
                </c:pt>
                <c:pt idx="673">
                  <c:v>-5.7017139418976344</c:v>
                </c:pt>
                <c:pt idx="674">
                  <c:v>-5.7140415286775763</c:v>
                </c:pt>
                <c:pt idx="675">
                  <c:v>-5.7263691456454451</c:v>
                </c:pt>
                <c:pt idx="676">
                  <c:v>-5.7386967928008321</c:v>
                </c:pt>
                <c:pt idx="677">
                  <c:v>-5.7510244701433262</c:v>
                </c:pt>
                <c:pt idx="678">
                  <c:v>-5.7633521776725178</c:v>
                </c:pt>
                <c:pt idx="679">
                  <c:v>-5.7756799153879967</c:v>
                </c:pt>
                <c:pt idx="680">
                  <c:v>-5.7880076832893534</c:v>
                </c:pt>
                <c:pt idx="681">
                  <c:v>-5.8003354813761776</c:v>
                </c:pt>
                <c:pt idx="682">
                  <c:v>-5.8126633096480598</c:v>
                </c:pt>
                <c:pt idx="683">
                  <c:v>-5.8249911681045896</c:v>
                </c:pt>
                <c:pt idx="684">
                  <c:v>-5.8373190567453568</c:v>
                </c:pt>
                <c:pt idx="685">
                  <c:v>-5.8496469755699518</c:v>
                </c:pt>
                <c:pt idx="686">
                  <c:v>-5.8619749245779644</c:v>
                </c:pt>
                <c:pt idx="687">
                  <c:v>-5.8743029037689851</c:v>
                </c:pt>
                <c:pt idx="688">
                  <c:v>-5.8866309131426036</c:v>
                </c:pt>
                <c:pt idx="689">
                  <c:v>-5.8989589526984103</c:v>
                </c:pt>
                <c:pt idx="690">
                  <c:v>-5.911287022435995</c:v>
                </c:pt>
                <c:pt idx="691">
                  <c:v>-5.9236151223549482</c:v>
                </c:pt>
                <c:pt idx="692">
                  <c:v>-5.9359432524548597</c:v>
                </c:pt>
                <c:pt idx="693">
                  <c:v>-5.9482714127353189</c:v>
                </c:pt>
                <c:pt idx="694">
                  <c:v>-5.9605996031959165</c:v>
                </c:pt>
                <c:pt idx="695">
                  <c:v>-5.9729278238362422</c:v>
                </c:pt>
                <c:pt idx="696">
                  <c:v>-5.9852560746558865</c:v>
                </c:pt>
                <c:pt idx="697">
                  <c:v>-5.997584355654439</c:v>
                </c:pt>
                <c:pt idx="698">
                  <c:v>-6.0099126668314904</c:v>
                </c:pt>
                <c:pt idx="699">
                  <c:v>-6.0222410081866302</c:v>
                </c:pt>
                <c:pt idx="700">
                  <c:v>-6.0345693797194491</c:v>
                </c:pt>
                <c:pt idx="701">
                  <c:v>-6.0468977814295366</c:v>
                </c:pt>
                <c:pt idx="702">
                  <c:v>-6.0592262133164834</c:v>
                </c:pt>
                <c:pt idx="703">
                  <c:v>-6.071554675379879</c:v>
                </c:pt>
                <c:pt idx="704">
                  <c:v>-6.0838831676193132</c:v>
                </c:pt>
                <c:pt idx="705">
                  <c:v>-6.0962116900343775</c:v>
                </c:pt>
                <c:pt idx="706">
                  <c:v>-6.1085402426246604</c:v>
                </c:pt>
                <c:pt idx="707">
                  <c:v>-6.1208688253897527</c:v>
                </c:pt>
                <c:pt idx="708">
                  <c:v>-6.1331974383292449</c:v>
                </c:pt>
                <c:pt idx="709">
                  <c:v>-6.1455260814427266</c:v>
                </c:pt>
                <c:pt idx="710">
                  <c:v>-6.1578547547297875</c:v>
                </c:pt>
                <c:pt idx="711">
                  <c:v>-6.1701834581900181</c:v>
                </c:pt>
                <c:pt idx="712">
                  <c:v>-6.182512191823009</c:v>
                </c:pt>
                <c:pt idx="713">
                  <c:v>-6.1948409556283499</c:v>
                </c:pt>
                <c:pt idx="714">
                  <c:v>-6.2071697496056313</c:v>
                </c:pt>
                <c:pt idx="715">
                  <c:v>-6.2194985737544428</c:v>
                </c:pt>
                <c:pt idx="716">
                  <c:v>-6.2318274280743751</c:v>
                </c:pt>
                <c:pt idx="717">
                  <c:v>-6.2441563125650177</c:v>
                </c:pt>
                <c:pt idx="718">
                  <c:v>-6.2564852272259603</c:v>
                </c:pt>
                <c:pt idx="719">
                  <c:v>-6.2688141720567945</c:v>
                </c:pt>
                <c:pt idx="720">
                  <c:v>-6.2811431470571089</c:v>
                </c:pt>
                <c:pt idx="721">
                  <c:v>-6.2934721522264949</c:v>
                </c:pt>
                <c:pt idx="722">
                  <c:v>-6.3058011875645423</c:v>
                </c:pt>
                <c:pt idx="723">
                  <c:v>-6.3181302530708408</c:v>
                </c:pt>
                <c:pt idx="724">
                  <c:v>-6.3304593487449807</c:v>
                </c:pt>
                <c:pt idx="725">
                  <c:v>-6.3427884745865519</c:v>
                </c:pt>
                <c:pt idx="726">
                  <c:v>-6.3551176305951449</c:v>
                </c:pt>
                <c:pt idx="727">
                  <c:v>-6.3674468167703502</c:v>
                </c:pt>
                <c:pt idx="728">
                  <c:v>-6.3797760331117574</c:v>
                </c:pt>
                <c:pt idx="729">
                  <c:v>-6.3921052796189572</c:v>
                </c:pt>
                <c:pt idx="730">
                  <c:v>-6.4044345562915392</c:v>
                </c:pt>
                <c:pt idx="731">
                  <c:v>-6.416763863129094</c:v>
                </c:pt>
                <c:pt idx="732">
                  <c:v>-6.4290932001312111</c:v>
                </c:pt>
                <c:pt idx="733">
                  <c:v>-6.4414225672974812</c:v>
                </c:pt>
                <c:pt idx="734">
                  <c:v>-6.4537519646274939</c:v>
                </c:pt>
                <c:pt idx="735">
                  <c:v>-6.4660813921208398</c:v>
                </c:pt>
                <c:pt idx="736">
                  <c:v>-6.4784108497771093</c:v>
                </c:pt>
                <c:pt idx="737">
                  <c:v>-6.4907403375958923</c:v>
                </c:pt>
                <c:pt idx="738">
                  <c:v>-6.5030698555767792</c:v>
                </c:pt>
                <c:pt idx="739">
                  <c:v>-6.5153994037193597</c:v>
                </c:pt>
                <c:pt idx="740">
                  <c:v>-6.5277289820232243</c:v>
                </c:pt>
                <c:pt idx="741">
                  <c:v>-6.5400585904879636</c:v>
                </c:pt>
                <c:pt idx="742">
                  <c:v>-6.5523882291131672</c:v>
                </c:pt>
                <c:pt idx="743">
                  <c:v>-6.5647178978984257</c:v>
                </c:pt>
                <c:pt idx="744">
                  <c:v>-6.5770475968433288</c:v>
                </c:pt>
                <c:pt idx="745">
                  <c:v>-6.5893773259474671</c:v>
                </c:pt>
                <c:pt idx="746">
                  <c:v>-6.6017070852104309</c:v>
                </c:pt>
                <c:pt idx="747">
                  <c:v>-6.6140368746318101</c:v>
                </c:pt>
                <c:pt idx="748">
                  <c:v>-6.6263666942111952</c:v>
                </c:pt>
                <c:pt idx="749">
                  <c:v>-6.6386965439481758</c:v>
                </c:pt>
                <c:pt idx="750">
                  <c:v>-6.6510264238423424</c:v>
                </c:pt>
                <c:pt idx="751">
                  <c:v>-6.6633563338932857</c:v>
                </c:pt>
                <c:pt idx="752">
                  <c:v>-6.6756862741005953</c:v>
                </c:pt>
                <c:pt idx="753">
                  <c:v>-6.6880162444638618</c:v>
                </c:pt>
                <c:pt idx="754">
                  <c:v>-6.7003462449826756</c:v>
                </c:pt>
                <c:pt idx="755">
                  <c:v>-6.7126762756566265</c:v>
                </c:pt>
                <c:pt idx="756">
                  <c:v>-6.7250063364853041</c:v>
                </c:pt>
                <c:pt idx="757">
                  <c:v>-6.7373364274682999</c:v>
                </c:pt>
                <c:pt idx="758">
                  <c:v>-6.7496665486052034</c:v>
                </c:pt>
                <c:pt idx="759">
                  <c:v>-6.7619966998956054</c:v>
                </c:pt>
                <c:pt idx="760">
                  <c:v>-6.7743268813390953</c:v>
                </c:pt>
                <c:pt idx="761">
                  <c:v>-6.7866570929352639</c:v>
                </c:pt>
                <c:pt idx="762">
                  <c:v>-6.7989873346837015</c:v>
                </c:pt>
                <c:pt idx="763">
                  <c:v>-6.811317606583998</c:v>
                </c:pt>
                <c:pt idx="764">
                  <c:v>-6.8236479086357438</c:v>
                </c:pt>
                <c:pt idx="765">
                  <c:v>-6.8359782408385286</c:v>
                </c:pt>
                <c:pt idx="766">
                  <c:v>-6.8483086031919438</c:v>
                </c:pt>
                <c:pt idx="767">
                  <c:v>-6.8606389956955791</c:v>
                </c:pt>
                <c:pt idx="768">
                  <c:v>-6.8729694183490242</c:v>
                </c:pt>
                <c:pt idx="769">
                  <c:v>-6.8852998711518696</c:v>
                </c:pt>
                <c:pt idx="770">
                  <c:v>-6.8976303541037058</c:v>
                </c:pt>
                <c:pt idx="771">
                  <c:v>-6.9099608672041235</c:v>
                </c:pt>
                <c:pt idx="772">
                  <c:v>-6.9222914104527122</c:v>
                </c:pt>
                <c:pt idx="773">
                  <c:v>-6.9346219838490626</c:v>
                </c:pt>
                <c:pt idx="774">
                  <c:v>-6.9469525873927651</c:v>
                </c:pt>
                <c:pt idx="775">
                  <c:v>-6.9592832210834095</c:v>
                </c:pt>
                <c:pt idx="776">
                  <c:v>-6.9716138849205862</c:v>
                </c:pt>
                <c:pt idx="777">
                  <c:v>-6.9839445789038859</c:v>
                </c:pt>
                <c:pt idx="778">
                  <c:v>-6.996275303032899</c:v>
                </c:pt>
                <c:pt idx="779">
                  <c:v>-7.0086060573072153</c:v>
                </c:pt>
                <c:pt idx="780">
                  <c:v>-7.0209368417264253</c:v>
                </c:pt>
                <c:pt idx="781">
                  <c:v>-7.0332676562901186</c:v>
                </c:pt>
                <c:pt idx="782">
                  <c:v>-7.0455985009978859</c:v>
                </c:pt>
                <c:pt idx="783">
                  <c:v>-7.0579293758493176</c:v>
                </c:pt>
                <c:pt idx="784">
                  <c:v>-7.0702602808440043</c:v>
                </c:pt>
                <c:pt idx="785">
                  <c:v>-7.0825912159815356</c:v>
                </c:pt>
                <c:pt idx="786">
                  <c:v>-7.0949221812615031</c:v>
                </c:pt>
                <c:pt idx="787">
                  <c:v>-7.1072531766834954</c:v>
                </c:pt>
                <c:pt idx="788">
                  <c:v>-7.1195842022471041</c:v>
                </c:pt>
                <c:pt idx="789">
                  <c:v>-7.1319152579519187</c:v>
                </c:pt>
                <c:pt idx="790">
                  <c:v>-7.1442463437975299</c:v>
                </c:pt>
                <c:pt idx="791">
                  <c:v>-7.1565774597835281</c:v>
                </c:pt>
                <c:pt idx="792">
                  <c:v>-7.168908605909504</c:v>
                </c:pt>
                <c:pt idx="793">
                  <c:v>-7.1812397821750471</c:v>
                </c:pt>
                <c:pt idx="794">
                  <c:v>-7.1935709885797481</c:v>
                </c:pt>
                <c:pt idx="795">
                  <c:v>-7.2059022251231966</c:v>
                </c:pt>
                <c:pt idx="796">
                  <c:v>-7.218233491804984</c:v>
                </c:pt>
                <c:pt idx="797">
                  <c:v>-7.2305647886247</c:v>
                </c:pt>
                <c:pt idx="798">
                  <c:v>-7.2428961155819351</c:v>
                </c:pt>
                <c:pt idx="799">
                  <c:v>-7.25522747267628</c:v>
                </c:pt>
                <c:pt idx="800">
                  <c:v>-7.2675588599073242</c:v>
                </c:pt>
                <c:pt idx="801">
                  <c:v>-7.2798902772746592</c:v>
                </c:pt>
                <c:pt idx="802">
                  <c:v>-7.2922217247778747</c:v>
                </c:pt>
                <c:pt idx="803">
                  <c:v>-7.3045532024165603</c:v>
                </c:pt>
                <c:pt idx="804">
                  <c:v>-7.3168847101903074</c:v>
                </c:pt>
                <c:pt idx="805">
                  <c:v>-7.3292162480987058</c:v>
                </c:pt>
                <c:pt idx="806">
                  <c:v>-7.3415478161413459</c:v>
                </c:pt>
                <c:pt idx="807">
                  <c:v>-7.3538794143178183</c:v>
                </c:pt>
                <c:pt idx="808">
                  <c:v>-7.3662110426277136</c:v>
                </c:pt>
                <c:pt idx="809">
                  <c:v>-7.3785427010706215</c:v>
                </c:pt>
                <c:pt idx="810">
                  <c:v>-7.3908743896461333</c:v>
                </c:pt>
                <c:pt idx="811">
                  <c:v>-7.4032061083538387</c:v>
                </c:pt>
                <c:pt idx="812">
                  <c:v>-7.4155378571933284</c:v>
                </c:pt>
                <c:pt idx="813">
                  <c:v>-7.4278696361641918</c:v>
                </c:pt>
                <c:pt idx="814">
                  <c:v>-7.4402014452660206</c:v>
                </c:pt>
                <c:pt idx="815">
                  <c:v>-7.4525332844984042</c:v>
                </c:pt>
                <c:pt idx="816">
                  <c:v>-7.4648651538609334</c:v>
                </c:pt>
                <c:pt idx="817">
                  <c:v>-7.4771970533531986</c:v>
                </c:pt>
                <c:pt idx="818">
                  <c:v>-7.4895289829747895</c:v>
                </c:pt>
                <c:pt idx="819">
                  <c:v>-7.5018609427252976</c:v>
                </c:pt>
                <c:pt idx="820">
                  <c:v>-7.5141929326043124</c:v>
                </c:pt>
                <c:pt idx="821">
                  <c:v>-7.5265249526114246</c:v>
                </c:pt>
                <c:pt idx="822">
                  <c:v>-7.5388570027462247</c:v>
                </c:pt>
                <c:pt idx="823">
                  <c:v>-7.5511890830083033</c:v>
                </c:pt>
                <c:pt idx="824">
                  <c:v>-7.5635211933972499</c:v>
                </c:pt>
                <c:pt idx="825">
                  <c:v>-7.5758533339126561</c:v>
                </c:pt>
                <c:pt idx="826">
                  <c:v>-7.5881855045541116</c:v>
                </c:pt>
                <c:pt idx="827">
                  <c:v>-7.6005177053212067</c:v>
                </c:pt>
                <c:pt idx="828">
                  <c:v>-7.6128499362135322</c:v>
                </c:pt>
                <c:pt idx="829">
                  <c:v>-7.6251821972306786</c:v>
                </c:pt>
                <c:pt idx="830">
                  <c:v>-7.6375144883722363</c:v>
                </c:pt>
                <c:pt idx="831">
                  <c:v>-7.6498468096377952</c:v>
                </c:pt>
                <c:pt idx="832">
                  <c:v>-7.6621791610269456</c:v>
                </c:pt>
                <c:pt idx="833">
                  <c:v>-7.6745115425392783</c:v>
                </c:pt>
                <c:pt idx="834">
                  <c:v>-7.6868439541743836</c:v>
                </c:pt>
                <c:pt idx="835">
                  <c:v>-7.6991763959318522</c:v>
                </c:pt>
                <c:pt idx="836">
                  <c:v>-7.7115088678112746</c:v>
                </c:pt>
                <c:pt idx="837">
                  <c:v>-7.7238413698122415</c:v>
                </c:pt>
                <c:pt idx="838">
                  <c:v>-7.7361739019343423</c:v>
                </c:pt>
                <c:pt idx="839">
                  <c:v>-7.7485064641771677</c:v>
                </c:pt>
                <c:pt idx="840">
                  <c:v>-7.7608390565403091</c:v>
                </c:pt>
                <c:pt idx="841">
                  <c:v>-7.7731716790233563</c:v>
                </c:pt>
                <c:pt idx="842">
                  <c:v>-7.7855043316258996</c:v>
                </c:pt>
                <c:pt idx="843">
                  <c:v>-7.7978370143475297</c:v>
                </c:pt>
                <c:pt idx="844">
                  <c:v>-7.8101697271878363</c:v>
                </c:pt>
                <c:pt idx="845">
                  <c:v>-7.8225024701464108</c:v>
                </c:pt>
                <c:pt idx="846">
                  <c:v>-7.8348352432228436</c:v>
                </c:pt>
                <c:pt idx="847">
                  <c:v>-7.8471680464167246</c:v>
                </c:pt>
                <c:pt idx="848">
                  <c:v>-7.8595008797276442</c:v>
                </c:pt>
                <c:pt idx="849">
                  <c:v>-7.871833743155193</c:v>
                </c:pt>
                <c:pt idx="850">
                  <c:v>-7.8841666366989624</c:v>
                </c:pt>
                <c:pt idx="851">
                  <c:v>-7.8964995603585422</c:v>
                </c:pt>
                <c:pt idx="852">
                  <c:v>-7.9088325141335227</c:v>
                </c:pt>
                <c:pt idx="853">
                  <c:v>-7.9211654980234938</c:v>
                </c:pt>
                <c:pt idx="854">
                  <c:v>-7.9334985120280468</c:v>
                </c:pt>
                <c:pt idx="855">
                  <c:v>-7.9458315561467723</c:v>
                </c:pt>
                <c:pt idx="856">
                  <c:v>-7.9581646303792599</c:v>
                </c:pt>
                <c:pt idx="857">
                  <c:v>-7.9704977347251011</c:v>
                </c:pt>
                <c:pt idx="858">
                  <c:v>-7.9828308691838856</c:v>
                </c:pt>
                <c:pt idx="859">
                  <c:v>-7.9951640337552048</c:v>
                </c:pt>
                <c:pt idx="860">
                  <c:v>-8.0074972284386483</c:v>
                </c:pt>
                <c:pt idx="861">
                  <c:v>-8.0198304532338067</c:v>
                </c:pt>
                <c:pt idx="862">
                  <c:v>-8.0321637081402706</c:v>
                </c:pt>
                <c:pt idx="863">
                  <c:v>-8.0444969931576313</c:v>
                </c:pt>
                <c:pt idx="864">
                  <c:v>-8.0568303082854786</c:v>
                </c:pt>
                <c:pt idx="865">
                  <c:v>-8.0691636535234021</c:v>
                </c:pt>
                <c:pt idx="866">
                  <c:v>-8.0814970288709933</c:v>
                </c:pt>
                <c:pt idx="867">
                  <c:v>-8.0938304343278435</c:v>
                </c:pt>
                <c:pt idx="868">
                  <c:v>-8.1061638698935425</c:v>
                </c:pt>
                <c:pt idx="869">
                  <c:v>-8.1184973355676799</c:v>
                </c:pt>
                <c:pt idx="870">
                  <c:v>-8.1308308313498472</c:v>
                </c:pt>
                <c:pt idx="871">
                  <c:v>-8.1431643572396339</c:v>
                </c:pt>
                <c:pt idx="872">
                  <c:v>-8.1554979132366316</c:v>
                </c:pt>
                <c:pt idx="873">
                  <c:v>-8.16783149934043</c:v>
                </c:pt>
                <c:pt idx="874">
                  <c:v>-8.1801651155506203</c:v>
                </c:pt>
                <c:pt idx="875">
                  <c:v>-8.1924987618667942</c:v>
                </c:pt>
                <c:pt idx="876">
                  <c:v>-8.2048324382885394</c:v>
                </c:pt>
                <c:pt idx="877">
                  <c:v>-8.2171661448154492</c:v>
                </c:pt>
                <c:pt idx="878">
                  <c:v>-8.2294998814471114</c:v>
                </c:pt>
                <c:pt idx="879">
                  <c:v>-8.2418336481831194</c:v>
                </c:pt>
                <c:pt idx="880">
                  <c:v>-8.2541674450230609</c:v>
                </c:pt>
                <c:pt idx="881">
                  <c:v>-8.2665012719665292</c:v>
                </c:pt>
                <c:pt idx="882">
                  <c:v>-8.2788351290131121</c:v>
                </c:pt>
                <c:pt idx="883">
                  <c:v>-8.291169016162403</c:v>
                </c:pt>
                <c:pt idx="884">
                  <c:v>-8.3035029334139896</c:v>
                </c:pt>
                <c:pt idx="885">
                  <c:v>-8.3158368807674652</c:v>
                </c:pt>
                <c:pt idx="886">
                  <c:v>-8.3281708582224176</c:v>
                </c:pt>
                <c:pt idx="887">
                  <c:v>-8.3405048657784402</c:v>
                </c:pt>
                <c:pt idx="888">
                  <c:v>-8.3528389034351207</c:v>
                </c:pt>
                <c:pt idx="889">
                  <c:v>-8.3651729711920524</c:v>
                </c:pt>
                <c:pt idx="890">
                  <c:v>-8.3775070690488231</c:v>
                </c:pt>
                <c:pt idx="891">
                  <c:v>-8.3898411970050262</c:v>
                </c:pt>
                <c:pt idx="892">
                  <c:v>-8.4021753550602511</c:v>
                </c:pt>
                <c:pt idx="893">
                  <c:v>-8.4145095432140877</c:v>
                </c:pt>
                <c:pt idx="894">
                  <c:v>-8.4268437614661273</c:v>
                </c:pt>
                <c:pt idx="895">
                  <c:v>-8.4391780098159597</c:v>
                </c:pt>
                <c:pt idx="896">
                  <c:v>-8.4515122882631761</c:v>
                </c:pt>
                <c:pt idx="897">
                  <c:v>-8.4638465968073664</c:v>
                </c:pt>
                <c:pt idx="898">
                  <c:v>-8.4761809354481219</c:v>
                </c:pt>
                <c:pt idx="899">
                  <c:v>-8.4885153041850341</c:v>
                </c:pt>
                <c:pt idx="900">
                  <c:v>-8.5008497030176908</c:v>
                </c:pt>
                <c:pt idx="901">
                  <c:v>-8.5131841319456854</c:v>
                </c:pt>
                <c:pt idx="902">
                  <c:v>-8.5255185909686073</c:v>
                </c:pt>
                <c:pt idx="903">
                  <c:v>-8.5378530800860464</c:v>
                </c:pt>
                <c:pt idx="904">
                  <c:v>-8.5501875992975958</c:v>
                </c:pt>
                <c:pt idx="905">
                  <c:v>-8.5625221486028433</c:v>
                </c:pt>
                <c:pt idx="906">
                  <c:v>-8.5748567280013805</c:v>
                </c:pt>
                <c:pt idx="907">
                  <c:v>-8.5871913374927988</c:v>
                </c:pt>
                <c:pt idx="908">
                  <c:v>-8.5995259770766879</c:v>
                </c:pt>
                <c:pt idx="909">
                  <c:v>-8.6118606467526391</c:v>
                </c:pt>
                <c:pt idx="910">
                  <c:v>-8.6241953465202421</c:v>
                </c:pt>
                <c:pt idx="911">
                  <c:v>-8.6365300763790884</c:v>
                </c:pt>
                <c:pt idx="912">
                  <c:v>-8.6488648363287677</c:v>
                </c:pt>
                <c:pt idx="913">
                  <c:v>-8.6611996263688713</c:v>
                </c:pt>
                <c:pt idx="914">
                  <c:v>-8.673534446498989</c:v>
                </c:pt>
                <c:pt idx="915">
                  <c:v>-8.6858692967187121</c:v>
                </c:pt>
                <c:pt idx="916">
                  <c:v>-8.6982041770276322</c:v>
                </c:pt>
                <c:pt idx="917">
                  <c:v>-8.7105390874253388</c:v>
                </c:pt>
                <c:pt idx="918">
                  <c:v>-8.7228740279114216</c:v>
                </c:pt>
                <c:pt idx="919">
                  <c:v>-8.7352089984854739</c:v>
                </c:pt>
                <c:pt idx="920">
                  <c:v>-8.7475439991470836</c:v>
                </c:pt>
                <c:pt idx="921">
                  <c:v>-8.7598790298958438</c:v>
                </c:pt>
                <c:pt idx="922">
                  <c:v>-8.7722140907313424</c:v>
                </c:pt>
                <c:pt idx="923">
                  <c:v>-8.7845491816531727</c:v>
                </c:pt>
                <c:pt idx="924">
                  <c:v>-8.7968843026609242</c:v>
                </c:pt>
                <c:pt idx="925">
                  <c:v>-8.8092194537541868</c:v>
                </c:pt>
                <c:pt idx="926">
                  <c:v>-8.8215546349325518</c:v>
                </c:pt>
                <c:pt idx="927">
                  <c:v>-8.8338898461956106</c:v>
                </c:pt>
                <c:pt idx="928">
                  <c:v>-8.8462250875429529</c:v>
                </c:pt>
                <c:pt idx="929">
                  <c:v>-8.8585603589741702</c:v>
                </c:pt>
                <c:pt idx="930">
                  <c:v>-8.870895660488852</c:v>
                </c:pt>
                <c:pt idx="931">
                  <c:v>-8.8832309920865899</c:v>
                </c:pt>
                <c:pt idx="932">
                  <c:v>-8.8955663537669736</c:v>
                </c:pt>
                <c:pt idx="933">
                  <c:v>-8.9079017455295944</c:v>
                </c:pt>
                <c:pt idx="934">
                  <c:v>-8.9202371673740437</c:v>
                </c:pt>
                <c:pt idx="935">
                  <c:v>-8.9325726192999113</c:v>
                </c:pt>
                <c:pt idx="936">
                  <c:v>-8.9449081013067886</c:v>
                </c:pt>
                <c:pt idx="937">
                  <c:v>-8.9572436133942652</c:v>
                </c:pt>
                <c:pt idx="938">
                  <c:v>-8.9695791555619326</c:v>
                </c:pt>
                <c:pt idx="939">
                  <c:v>-8.9819147278093805</c:v>
                </c:pt>
                <c:pt idx="940">
                  <c:v>-8.9942503301362002</c:v>
                </c:pt>
                <c:pt idx="941">
                  <c:v>-9.0065859625419833</c:v>
                </c:pt>
                <c:pt idx="942">
                  <c:v>-9.0189216250263193</c:v>
                </c:pt>
                <c:pt idx="943">
                  <c:v>-9.0312573175887998</c:v>
                </c:pt>
                <c:pt idx="944">
                  <c:v>-9.0435930402290143</c:v>
                </c:pt>
                <c:pt idx="945">
                  <c:v>-9.0559287929465544</c:v>
                </c:pt>
                <c:pt idx="946">
                  <c:v>-9.0682645757410114</c:v>
                </c:pt>
                <c:pt idx="947">
                  <c:v>-9.080600388611975</c:v>
                </c:pt>
                <c:pt idx="948">
                  <c:v>-9.092936231559035</c:v>
                </c:pt>
                <c:pt idx="949">
                  <c:v>-9.1052721045817844</c:v>
                </c:pt>
                <c:pt idx="950">
                  <c:v>-9.1176080076798129</c:v>
                </c:pt>
                <c:pt idx="951">
                  <c:v>-9.1299439408527103</c:v>
                </c:pt>
                <c:pt idx="952">
                  <c:v>-9.142279904100068</c:v>
                </c:pt>
                <c:pt idx="953">
                  <c:v>-9.1546158974214773</c:v>
                </c:pt>
                <c:pt idx="954">
                  <c:v>-9.166951920816528</c:v>
                </c:pt>
                <c:pt idx="955">
                  <c:v>-9.1792879742848115</c:v>
                </c:pt>
                <c:pt idx="956">
                  <c:v>-9.1916240578259174</c:v>
                </c:pt>
                <c:pt idx="957">
                  <c:v>-9.203960171439439</c:v>
                </c:pt>
                <c:pt idx="958">
                  <c:v>-9.2162963151249642</c:v>
                </c:pt>
                <c:pt idx="959">
                  <c:v>-9.2286324888820861</c:v>
                </c:pt>
                <c:pt idx="960">
                  <c:v>-9.2409686927103944</c:v>
                </c:pt>
                <c:pt idx="961">
                  <c:v>-9.2533049266094789</c:v>
                </c:pt>
                <c:pt idx="962">
                  <c:v>-9.2656411905789309</c:v>
                </c:pt>
                <c:pt idx="963">
                  <c:v>-9.2779774846183418</c:v>
                </c:pt>
                <c:pt idx="964">
                  <c:v>-9.2903138087273014</c:v>
                </c:pt>
                <c:pt idx="965">
                  <c:v>-9.302650162905401</c:v>
                </c:pt>
                <c:pt idx="966">
                  <c:v>-9.3149865471522322</c:v>
                </c:pt>
                <c:pt idx="967">
                  <c:v>-9.3273229614673845</c:v>
                </c:pt>
                <c:pt idx="968">
                  <c:v>-9.3396594058504494</c:v>
                </c:pt>
                <c:pt idx="969">
                  <c:v>-9.3519958803010166</c:v>
                </c:pt>
                <c:pt idx="970">
                  <c:v>-9.3643323848186775</c:v>
                </c:pt>
                <c:pt idx="971">
                  <c:v>-9.3766689194030235</c:v>
                </c:pt>
                <c:pt idx="972">
                  <c:v>-9.3890054840536461</c:v>
                </c:pt>
                <c:pt idx="973">
                  <c:v>-9.4013420787701332</c:v>
                </c:pt>
                <c:pt idx="974">
                  <c:v>-9.4136787035520779</c:v>
                </c:pt>
                <c:pt idx="975">
                  <c:v>-9.42601535839907</c:v>
                </c:pt>
                <c:pt idx="976">
                  <c:v>-9.4383520433107009</c:v>
                </c:pt>
                <c:pt idx="977">
                  <c:v>-9.450688758286562</c:v>
                </c:pt>
                <c:pt idx="978">
                  <c:v>-9.4630255033262429</c:v>
                </c:pt>
                <c:pt idx="979">
                  <c:v>-9.4753622784293334</c:v>
                </c:pt>
                <c:pt idx="980">
                  <c:v>-9.4876990835954267</c:v>
                </c:pt>
                <c:pt idx="981">
                  <c:v>-9.5000359188241124</c:v>
                </c:pt>
                <c:pt idx="982">
                  <c:v>-9.5123727841149819</c:v>
                </c:pt>
                <c:pt idx="983">
                  <c:v>-9.5247096794676249</c:v>
                </c:pt>
                <c:pt idx="984">
                  <c:v>-9.5370466048816329</c:v>
                </c:pt>
                <c:pt idx="985">
                  <c:v>-9.5493835603565955</c:v>
                </c:pt>
                <c:pt idx="986">
                  <c:v>-9.561720545892106</c:v>
                </c:pt>
                <c:pt idx="987">
                  <c:v>-9.5740575614877539</c:v>
                </c:pt>
                <c:pt idx="988">
                  <c:v>-9.586394607143129</c:v>
                </c:pt>
                <c:pt idx="989">
                  <c:v>-9.5987316828578226</c:v>
                </c:pt>
                <c:pt idx="990">
                  <c:v>-9.6110687886314263</c:v>
                </c:pt>
                <c:pt idx="991">
                  <c:v>-9.6234059244635315</c:v>
                </c:pt>
                <c:pt idx="992">
                  <c:v>-9.6357430903537278</c:v>
                </c:pt>
                <c:pt idx="993">
                  <c:v>-9.6480802863016066</c:v>
                </c:pt>
                <c:pt idx="994">
                  <c:v>-9.6604175123067577</c:v>
                </c:pt>
                <c:pt idx="995">
                  <c:v>-9.6727547683687725</c:v>
                </c:pt>
                <c:pt idx="996">
                  <c:v>-9.6850920544872423</c:v>
                </c:pt>
                <c:pt idx="997">
                  <c:v>-9.6974293706617569</c:v>
                </c:pt>
                <c:pt idx="998">
                  <c:v>-9.7097667168919077</c:v>
                </c:pt>
                <c:pt idx="999">
                  <c:v>-9.7221040931772862</c:v>
                </c:pt>
                <c:pt idx="1000">
                  <c:v>-9.7344414995174837</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1.4032514260009475E-4</c:v>
                </c:pt>
                <c:pt idx="2">
                  <c:v>1.1854569387982246E-3</c:v>
                </c:pt>
                <c:pt idx="3">
                  <c:v>4.1398669637661128E-3</c:v>
                </c:pt>
                <c:pt idx="4">
                  <c:v>9.3440850464125494E-3</c:v>
                </c:pt>
                <c:pt idx="5">
                  <c:v>1.6718449531440822E-2</c:v>
                </c:pt>
                <c:pt idx="6">
                  <c:v>2.6207431990298818E-2</c:v>
                </c:pt>
                <c:pt idx="7">
                  <c:v>3.7804015051959121E-2</c:v>
                </c:pt>
                <c:pt idx="8">
                  <c:v>5.1525473974548042E-2</c:v>
                </c:pt>
                <c:pt idx="9">
                  <c:v>6.7389095287224393E-2</c:v>
                </c:pt>
                <c:pt idx="10">
                  <c:v>8.5412176538115739E-2</c:v>
                </c:pt>
                <c:pt idx="11">
                  <c:v>0.10560950313653615</c:v>
                </c:pt>
                <c:pt idx="12">
                  <c:v>0.12799081866129311</c:v>
                </c:pt>
                <c:pt idx="13">
                  <c:v>0.15256333784423576</c:v>
                </c:pt>
                <c:pt idx="14">
                  <c:v>0.17933426611544834</c:v>
                </c:pt>
                <c:pt idx="15">
                  <c:v>0.20831079940390504</c:v>
                </c:pt>
                <c:pt idx="16">
                  <c:v>0.23950012393736705</c:v>
                </c:pt>
                <c:pt idx="17">
                  <c:v>0.27290941604153296</c:v>
                </c:pt>
                <c:pt idx="18">
                  <c:v>0.30854584193845369</c:v>
                </c:pt>
                <c:pt idx="19">
                  <c:v>0.34641655754422435</c:v>
                </c:pt>
                <c:pt idx="20">
                  <c:v>0.38652870826596347</c:v>
                </c:pt>
                <c:pt idx="21">
                  <c:v>0.42888841646673564</c:v>
                </c:pt>
                <c:pt idx="22">
                  <c:v>0.47349976634841856</c:v>
                </c:pt>
                <c:pt idx="23">
                  <c:v>0.52036581233519663</c:v>
                </c:pt>
                <c:pt idx="24">
                  <c:v>0.56948959007956934</c:v>
                </c:pt>
                <c:pt idx="25">
                  <c:v>0.62087411634014311</c:v>
                </c:pt>
                <c:pt idx="26">
                  <c:v>0.67452238885991678</c:v>
                </c:pt>
                <c:pt idx="27">
                  <c:v>0.73043738624507215</c:v>
                </c:pt>
                <c:pt idx="28">
                  <c:v>0.78870600636392141</c:v>
                </c:pt>
                <c:pt idx="29">
                  <c:v>0.84941852023812525</c:v>
                </c:pt>
                <c:pt idx="30">
                  <c:v>0.91258458312841828</c:v>
                </c:pt>
                <c:pt idx="31">
                  <c:v>0.97821367762859157</c:v>
                </c:pt>
                <c:pt idx="32">
                  <c:v>1.0463150677898894</c:v>
                </c:pt>
                <c:pt idx="33">
                  <c:v>1.1168978118378972</c:v>
                </c:pt>
                <c:pt idx="34">
                  <c:v>1.1899707736671841</c:v>
                </c:pt>
                <c:pt idx="35">
                  <c:v>1.2655426332640971</c:v>
                </c:pt>
                <c:pt idx="36">
                  <c:v>1.343621896185639</c:v>
                </c:pt>
                <c:pt idx="37">
                  <c:v>1.4242169022038045</c:v>
                </c:pt>
                <c:pt idx="38">
                  <c:v>1.5073358332093483</c:v>
                </c:pt>
                <c:pt idx="39">
                  <c:v>1.5929867204560784</c:v>
                </c:pt>
                <c:pt idx="40">
                  <c:v>1.6811774512159654</c:v>
                </c:pt>
                <c:pt idx="41">
                  <c:v>1.7719149626731134</c:v>
                </c:pt>
                <c:pt idx="42">
                  <c:v>1.86520442885002</c:v>
                </c:pt>
                <c:pt idx="43">
                  <c:v>1.9610500695157906</c:v>
                </c:pt>
                <c:pt idx="44">
                  <c:v>2.0594559655032145</c:v>
                </c:pt>
                <c:pt idx="45">
                  <c:v>2.1604260637810593</c:v>
                </c:pt>
                <c:pt idx="46">
                  <c:v>2.2639641821699894</c:v>
                </c:pt>
                <c:pt idx="47">
                  <c:v>2.3700740137348433</c:v>
                </c:pt>
                <c:pt idx="48">
                  <c:v>2.4787591308823234</c:v>
                </c:pt>
                <c:pt idx="49">
                  <c:v>2.5900229891899875</c:v>
                </c:pt>
                <c:pt idx="50">
                  <c:v>2.7038689309896458</c:v>
                </c:pt>
                <c:pt idx="51">
                  <c:v>2.8203001887258536</c:v>
                </c:pt>
                <c:pt idx="52">
                  <c:v>2.9393198881080624</c:v>
                </c:pt>
                <c:pt idx="53">
                  <c:v>3.0609310510731262</c:v>
                </c:pt>
                <c:pt idx="54">
                  <c:v>3.1851365985732141</c:v>
                </c:pt>
                <c:pt idx="55">
                  <c:v>3.3119393532027286</c:v>
                </c:pt>
                <c:pt idx="56">
                  <c:v>3.4413420416765348</c:v>
                </c:pt>
                <c:pt idx="57">
                  <c:v>3.5733472971706672</c:v>
                </c:pt>
                <c:pt idx="58">
                  <c:v>3.7079576615356591</c:v>
                </c:pt>
                <c:pt idx="59">
                  <c:v>3.8451755873917302</c:v>
                </c:pt>
                <c:pt idx="60">
                  <c:v>3.9850034401142547</c:v>
                </c:pt>
                <c:pt idx="61">
                  <c:v>4.1274434997172076</c:v>
                </c:pt>
                <c:pt idx="62">
                  <c:v>4.2724979626416246</c:v>
                </c:pt>
                <c:pt idx="63">
                  <c:v>4.4201689434555371</c:v>
                </c:pt>
                <c:pt idx="64">
                  <c:v>4.5704584764712912</c:v>
                </c:pt>
                <c:pt idx="65">
                  <c:v>4.7233685172857083</c:v>
                </c:pt>
                <c:pt idx="66">
                  <c:v>4.8789009442480893</c:v>
                </c:pt>
                <c:pt idx="67">
                  <c:v>5.0370575598606813</c:v>
                </c:pt>
                <c:pt idx="68">
                  <c:v>5.1978400921158725</c:v>
                </c:pt>
                <c:pt idx="69">
                  <c:v>5.3612501957740513</c:v>
                </c:pt>
                <c:pt idx="70">
                  <c:v>5.5272894535857766</c:v>
                </c:pt>
                <c:pt idx="71">
                  <c:v>5.6959593774616346</c:v>
                </c:pt>
                <c:pt idx="72">
                  <c:v>5.8672614095929081</c:v>
                </c:pt>
                <c:pt idx="73">
                  <c:v>6.0411969235259759</c:v>
                </c:pt>
                <c:pt idx="74">
                  <c:v>6.2177672251931373</c:v>
                </c:pt>
                <c:pt idx="75">
                  <c:v>6.3969735539023729</c:v>
                </c:pt>
                <c:pt idx="76">
                  <c:v>6.5788170832883948</c:v>
                </c:pt>
                <c:pt idx="77">
                  <c:v>6.7632989222271558</c:v>
                </c:pt>
                <c:pt idx="78">
                  <c:v>6.9504201157158674</c:v>
                </c:pt>
                <c:pt idx="79">
                  <c:v>7.1401816457204212</c:v>
                </c:pt>
                <c:pt idx="80">
                  <c:v>7.3325844319919984</c:v>
                </c:pt>
                <c:pt idx="81">
                  <c:v>7.5276284628306476</c:v>
                </c:pt>
                <c:pt idx="82">
                  <c:v>7.725311921724594</c:v>
                </c:pt>
                <c:pt idx="83">
                  <c:v>7.9256320528536568</c:v>
                </c:pt>
                <c:pt idx="84">
                  <c:v>8.1285860307951108</c:v>
                </c:pt>
                <c:pt idx="85">
                  <c:v>8.3341709614675263</c:v>
                </c:pt>
                <c:pt idx="86">
                  <c:v>8.5423838830470409</c:v>
                </c:pt>
                <c:pt idx="87">
                  <c:v>8.7532217668575125</c:v>
                </c:pt>
                <c:pt idx="88">
                  <c:v>8.9666815182359016</c:v>
                </c:pt>
                <c:pt idx="89">
                  <c:v>9.1827599773741735</c:v>
                </c:pt>
                <c:pt idx="90">
                  <c:v>9.4014539201389002</c:v>
                </c:pt>
                <c:pt idx="91">
                  <c:v>9.6227596709299856</c:v>
                </c:pt>
                <c:pt idx="92">
                  <c:v>9.846672713871861</c:v>
                </c:pt>
                <c:pt idx="93">
                  <c:v>10.073188079438383</c:v>
                </c:pt>
                <c:pt idx="94">
                  <c:v>10.302300732761406</c:v>
                </c:pt>
                <c:pt idx="95">
                  <c:v>10.534005574462499</c:v>
                </c:pt>
                <c:pt idx="96">
                  <c:v>10.768297441466418</c:v>
                </c:pt>
                <c:pt idx="97">
                  <c:v>11.005171107797208</c:v>
                </c:pt>
                <c:pt idx="98">
                  <c:v>11.244621285357757</c:v>
                </c:pt>
                <c:pt idx="99">
                  <c:v>11.486642624693562</c:v>
                </c:pt>
                <c:pt idx="100">
                  <c:v>11.731229715741472</c:v>
                </c:pt>
                <c:pt idx="101">
                  <c:v>11.978377026000373</c:v>
                </c:pt>
                <c:pt idx="102">
                  <c:v>12.228078838448043</c:v>
                </c:pt>
                <c:pt idx="103">
                  <c:v>12.480329314516894</c:v>
                </c:pt>
                <c:pt idx="104">
                  <c:v>12.735122557305521</c:v>
                </c:pt>
                <c:pt idx="105">
                  <c:v>12.992452612278017</c:v>
                </c:pt>
                <c:pt idx="106">
                  <c:v>13.252313467951623</c:v>
                </c:pt>
                <c:pt idx="107">
                  <c:v>13.514699056573248</c:v>
                </c:pt>
                <c:pt idx="108">
                  <c:v>13.779603254785291</c:v>
                </c:pt>
                <c:pt idx="109">
                  <c:v>14.047019884281253</c:v>
                </c:pt>
                <c:pt idx="110">
                  <c:v>14.316942712451533</c:v>
                </c:pt>
                <c:pt idx="111">
                  <c:v>14.589366178772741</c:v>
                </c:pt>
                <c:pt idx="112">
                  <c:v>14.864286123714614</c:v>
                </c:pt>
                <c:pt idx="113">
                  <c:v>15.141699066633974</c:v>
                </c:pt>
                <c:pt idx="114">
                  <c:v>15.421601481049219</c:v>
                </c:pt>
                <c:pt idx="115">
                  <c:v>15.703989795074692</c:v>
                </c:pt>
                <c:pt idx="116">
                  <c:v>15.988860391849263</c:v>
                </c:pt>
                <c:pt idx="117">
                  <c:v>16.276209609959338</c:v>
                </c:pt>
                <c:pt idx="118">
                  <c:v>16.566033743856547</c:v>
                </c:pt>
                <c:pt idx="119">
                  <c:v>16.858329044270292</c:v>
                </c:pt>
                <c:pt idx="120">
                  <c:v>17.153091718615372</c:v>
                </c:pt>
                <c:pt idx="121">
                  <c:v>17.45031671931568</c:v>
                </c:pt>
                <c:pt idx="122">
                  <c:v>17.749996528264987</c:v>
                </c:pt>
                <c:pt idx="123">
                  <c:v>18.052122364818757</c:v>
                </c:pt>
                <c:pt idx="124">
                  <c:v>18.35668539777647</c:v>
                </c:pt>
                <c:pt idx="125">
                  <c:v>18.663676746038586</c:v>
                </c:pt>
                <c:pt idx="126">
                  <c:v>18.973087479256854</c:v>
                </c:pt>
                <c:pt idx="127">
                  <c:v>19.284908618478173</c:v>
                </c:pt>
                <c:pt idx="128">
                  <c:v>19.599131136782219</c:v>
                </c:pt>
                <c:pt idx="129">
                  <c:v>19.915745959913025</c:v>
                </c:pt>
                <c:pt idx="130">
                  <c:v>20.234743966904663</c:v>
                </c:pt>
                <c:pt idx="131">
                  <c:v>20.5561156713378</c:v>
                </c:pt>
                <c:pt idx="132">
                  <c:v>20.879850901677408</c:v>
                </c:pt>
                <c:pt idx="133">
                  <c:v>21.20593912023088</c:v>
                </c:pt>
                <c:pt idx="134">
                  <c:v>21.534369743050672</c:v>
                </c:pt>
                <c:pt idx="135">
                  <c:v>21.865132140605603</c:v>
                </c:pt>
                <c:pt idx="136">
                  <c:v>22.198215638446435</c:v>
                </c:pt>
                <c:pt idx="137">
                  <c:v>22.533609517865848</c:v>
                </c:pt>
                <c:pt idx="138">
                  <c:v>22.871303016552964</c:v>
                </c:pt>
                <c:pt idx="139">
                  <c:v>23.211285329242525</c:v>
                </c:pt>
                <c:pt idx="140">
                  <c:v>23.553545608358831</c:v>
                </c:pt>
                <c:pt idx="141">
                  <c:v>23.898069123204685</c:v>
                </c:pt>
                <c:pt idx="142">
                  <c:v>24.244833409401906</c:v>
                </c:pt>
                <c:pt idx="143">
                  <c:v>24.593812100818138</c:v>
                </c:pt>
                <c:pt idx="144">
                  <c:v>24.944978771737755</c:v>
                </c:pt>
                <c:pt idx="145">
                  <c:v>25.298306938486025</c:v>
                </c:pt>
                <c:pt idx="146">
                  <c:v>25.653770061036042</c:v>
                </c:pt>
                <c:pt idx="147">
                  <c:v>26.011341544598626</c:v>
                </c:pt>
                <c:pt idx="148">
                  <c:v>26.370994741195297</c:v>
                </c:pt>
                <c:pt idx="149">
                  <c:v>26.732702951214513</c:v>
                </c:pt>
                <c:pt idx="150">
                  <c:v>27.096439424951267</c:v>
                </c:pt>
                <c:pt idx="151">
                  <c:v>27.462177364130167</c:v>
                </c:pt>
                <c:pt idx="152">
                  <c:v>27.829889923412114</c:v>
                </c:pt>
                <c:pt idx="153">
                  <c:v>28.199550211884688</c:v>
                </c:pt>
                <c:pt idx="154">
                  <c:v>28.571131294536293</c:v>
                </c:pt>
                <c:pt idx="155">
                  <c:v>28.944606193714215</c:v>
                </c:pt>
                <c:pt idx="156">
                  <c:v>29.319929546375388</c:v>
                </c:pt>
                <c:pt idx="157">
                  <c:v>29.697019228245527</c:v>
                </c:pt>
                <c:pt idx="158">
                  <c:v>30.075774673525835</c:v>
                </c:pt>
                <c:pt idx="159">
                  <c:v>30.456095232102882</c:v>
                </c:pt>
                <c:pt idx="160">
                  <c:v>30.837880179728423</c:v>
                </c:pt>
                <c:pt idx="161">
                  <c:v>31.221005345375765</c:v>
                </c:pt>
                <c:pt idx="162">
                  <c:v>31.605299713465442</c:v>
                </c:pt>
                <c:pt idx="163">
                  <c:v>31.990571044274873</c:v>
                </c:pt>
                <c:pt idx="164">
                  <c:v>32.376631531177495</c:v>
                </c:pt>
                <c:pt idx="165">
                  <c:v>32.763317980017177</c:v>
                </c:pt>
                <c:pt idx="166">
                  <c:v>33.150511992231536</c:v>
                </c:pt>
                <c:pt idx="167">
                  <c:v>33.538100554940911</c:v>
                </c:pt>
                <c:pt idx="168">
                  <c:v>33.925948941411029</c:v>
                </c:pt>
                <c:pt idx="169">
                  <c:v>34.313882551425046</c:v>
                </c:pt>
                <c:pt idx="170">
                  <c:v>34.701681122428518</c:v>
                </c:pt>
                <c:pt idx="171">
                  <c:v>35.089190333136607</c:v>
                </c:pt>
                <c:pt idx="172">
                  <c:v>35.476371623980071</c:v>
                </c:pt>
                <c:pt idx="173">
                  <c:v>35.863225774198256</c:v>
                </c:pt>
                <c:pt idx="174">
                  <c:v>36.249753560461826</c:v>
                </c:pt>
                <c:pt idx="175">
                  <c:v>36.635955756884393</c:v>
                </c:pt>
                <c:pt idx="176">
                  <c:v>37.021833135034058</c:v>
                </c:pt>
                <c:pt idx="177">
                  <c:v>37.407386463944903</c:v>
                </c:pt>
                <c:pt idx="178">
                  <c:v>37.792616510128418</c:v>
                </c:pt>
                <c:pt idx="179">
                  <c:v>38.17752403758486</c:v>
                </c:pt>
                <c:pt idx="180">
                  <c:v>38.562109807814529</c:v>
                </c:pt>
                <c:pt idx="181">
                  <c:v>38.946374579829033</c:v>
                </c:pt>
                <c:pt idx="182">
                  <c:v>39.330319110162421</c:v>
                </c:pt>
                <c:pt idx="183">
                  <c:v>39.713944152882299</c:v>
                </c:pt>
                <c:pt idx="184">
                  <c:v>40.097250459600886</c:v>
                </c:pt>
                <c:pt idx="185">
                  <c:v>40.48023877948598</c:v>
                </c:pt>
                <c:pt idx="186">
                  <c:v>40.86290985927188</c:v>
                </c:pt>
                <c:pt idx="187">
                  <c:v>41.245264443270244</c:v>
                </c:pt>
                <c:pt idx="188">
                  <c:v>41.627303273380882</c:v>
                </c:pt>
                <c:pt idx="189">
                  <c:v>42.009027089102503</c:v>
                </c:pt>
                <c:pt idx="190">
                  <c:v>42.390436627543387</c:v>
                </c:pt>
                <c:pt idx="191">
                  <c:v>42.771532623432002</c:v>
                </c:pt>
                <c:pt idx="192">
                  <c:v>43.152315809127565</c:v>
                </c:pt>
                <c:pt idx="193">
                  <c:v>43.532786914630542</c:v>
                </c:pt>
                <c:pt idx="194">
                  <c:v>43.912946667593083</c:v>
                </c:pt>
                <c:pt idx="195">
                  <c:v>44.292795793329418</c:v>
                </c:pt>
                <c:pt idx="196">
                  <c:v>44.672335014826167</c:v>
                </c:pt>
                <c:pt idx="197">
                  <c:v>45.051565052752629</c:v>
                </c:pt>
                <c:pt idx="198">
                  <c:v>45.430486625470984</c:v>
                </c:pt>
                <c:pt idx="199">
                  <c:v>45.809100449046454</c:v>
                </c:pt>
                <c:pt idx="200">
                  <c:v>46.187407237257389</c:v>
                </c:pt>
                <c:pt idx="201">
                  <c:v>49.953643290129008</c:v>
                </c:pt>
                <c:pt idx="202">
                  <c:v>53.68963432314429</c:v>
                </c:pt>
                <c:pt idx="203">
                  <c:v>57.39607299998103</c:v>
                </c:pt>
                <c:pt idx="204">
                  <c:v>61.073630391382721</c:v>
                </c:pt>
                <c:pt idx="205">
                  <c:v>64.722956894773986</c:v>
                </c:pt>
                <c:pt idx="206">
                  <c:v>68.344683105282868</c:v>
                </c:pt>
                <c:pt idx="207">
                  <c:v>71.939420641238101</c:v>
                </c:pt>
                <c:pt idx="208">
                  <c:v>75.507762926984825</c:v>
                </c:pt>
                <c:pt idx="209">
                  <c:v>79.050285935656305</c:v>
                </c:pt>
                <c:pt idx="210">
                  <c:v>82.567548894350011</c:v>
                </c:pt>
                <c:pt idx="211">
                  <c:v>86.060094953982855</c:v>
                </c:pt>
                <c:pt idx="212">
                  <c:v>89.528451825940522</c:v>
                </c:pt>
                <c:pt idx="213">
                  <c:v>92.973132387489059</c:v>
                </c:pt>
                <c:pt idx="214">
                  <c:v>96.394635257781275</c:v>
                </c:pt>
                <c:pt idx="215">
                  <c:v>99.79344534616574</c:v>
                </c:pt>
                <c:pt idx="216">
                  <c:v>103.17003437439111</c:v>
                </c:pt>
                <c:pt idx="217">
                  <c:v>106.52486137419193</c:v>
                </c:pt>
                <c:pt idx="218">
                  <c:v>109.85837316164391</c:v>
                </c:pt>
                <c:pt idx="219">
                  <c:v>113.17100478958569</c:v>
                </c:pt>
                <c:pt idx="220">
                  <c:v>116.46317997931985</c:v>
                </c:pt>
                <c:pt idx="221">
                  <c:v>119.73531153272813</c:v>
                </c:pt>
                <c:pt idx="222">
                  <c:v>122.98780172586336</c:v>
                </c:pt>
                <c:pt idx="223">
                  <c:v>126.2210426850135</c:v>
                </c:pt>
                <c:pt idx="224">
                  <c:v>129.43541674617114</c:v>
                </c:pt>
                <c:pt idx="225">
                  <c:v>132.63129679878369</c:v>
                </c:pt>
                <c:pt idx="226">
                  <c:v>135.80904661460588</c:v>
                </c:pt>
                <c:pt idx="227">
                  <c:v>138.96902116242589</c:v>
                </c:pt>
                <c:pt idx="228">
                  <c:v>142.11156690939032</c:v>
                </c:pt>
                <c:pt idx="229">
                  <c:v>145.23702210960909</c:v>
                </c:pt>
                <c:pt idx="230">
                  <c:v>148.34571708068145</c:v>
                </c:pt>
                <c:pt idx="231">
                  <c:v>151.43797446874643</c:v>
                </c:pt>
                <c:pt idx="232">
                  <c:v>154.51410950262536</c:v>
                </c:pt>
                <c:pt idx="233">
                  <c:v>157.57443023759188</c:v>
                </c:pt>
                <c:pt idx="234">
                  <c:v>160.61923778927348</c:v>
                </c:pt>
                <c:pt idx="235">
                  <c:v>163.64882655815998</c:v>
                </c:pt>
                <c:pt idx="236">
                  <c:v>166.66348444516777</c:v>
                </c:pt>
                <c:pt idx="237">
                  <c:v>169.66349305868277</c:v>
                </c:pt>
                <c:pt idx="238">
                  <c:v>172.649127913482</c:v>
                </c:pt>
                <c:pt idx="239">
                  <c:v>175.6206586219111</c:v>
                </c:pt>
                <c:pt idx="240">
                  <c:v>178.57834907767469</c:v>
                </c:pt>
                <c:pt idx="241">
                  <c:v>181.5224576325765</c:v>
                </c:pt>
                <c:pt idx="242">
                  <c:v>184.45323726652825</c:v>
                </c:pt>
                <c:pt idx="243">
                  <c:v>187.3709357511288</c:v>
                </c:pt>
                <c:pt idx="244">
                  <c:v>190.27579580709894</c:v>
                </c:pt>
                <c:pt idx="245">
                  <c:v>193.16805525584206</c:v>
                </c:pt>
                <c:pt idx="246">
                  <c:v>196.04794716538615</c:v>
                </c:pt>
                <c:pt idx="247">
                  <c:v>198.91569999094946</c:v>
                </c:pt>
                <c:pt idx="248">
                  <c:v>201.77153771035935</c:v>
                </c:pt>
                <c:pt idx="249">
                  <c:v>204.61567995454146</c:v>
                </c:pt>
                <c:pt idx="250">
                  <c:v>207.44834213328508</c:v>
                </c:pt>
                <c:pt idx="251">
                  <c:v>210.26973555648021</c:v>
                </c:pt>
                <c:pt idx="252">
                  <c:v>213.08006755101087</c:v>
                </c:pt>
                <c:pt idx="253">
                  <c:v>215.8795415734804</c:v>
                </c:pt>
                <c:pt idx="254">
                  <c:v>218.66835731893445</c:v>
                </c:pt>
                <c:pt idx="255">
                  <c:v>221.44671082573976</c:v>
                </c:pt>
                <c:pt idx="256">
                  <c:v>224.21479457676725</c:v>
                </c:pt>
                <c:pt idx="257">
                  <c:v>226.97279759702147</c:v>
                </c:pt>
                <c:pt idx="258">
                  <c:v>229.72090554785004</c:v>
                </c:pt>
                <c:pt idx="259">
                  <c:v>232.45930081785994</c:v>
                </c:pt>
                <c:pt idx="260">
                  <c:v>235.18816261066081</c:v>
                </c:pt>
                <c:pt idx="261">
                  <c:v>237.90766702954863</c:v>
                </c:pt>
                <c:pt idx="262">
                  <c:v>240.61798715923723</c:v>
                </c:pt>
                <c:pt idx="263">
                  <c:v>243.31929314473913</c:v>
                </c:pt>
                <c:pt idx="264">
                  <c:v>246.01175226749098</c:v>
                </c:pt>
                <c:pt idx="265">
                  <c:v>248.69552901881411</c:v>
                </c:pt>
                <c:pt idx="266">
                  <c:v>251.37078517079479</c:v>
                </c:pt>
                <c:pt idx="267">
                  <c:v>254.03767984466367</c:v>
                </c:pt>
                <c:pt idx="268">
                  <c:v>256.69636957674936</c:v>
                </c:pt>
                <c:pt idx="269">
                  <c:v>259.34700838207573</c:v>
                </c:pt>
                <c:pt idx="270">
                  <c:v>261.98974781566773</c:v>
                </c:pt>
                <c:pt idx="271">
                  <c:v>264.6247370316263</c:v>
                </c:pt>
                <c:pt idx="272">
                  <c:v>267.25212284002822</c:v>
                </c:pt>
                <c:pt idx="273">
                  <c:v>269.87204976170165</c:v>
                </c:pt>
                <c:pt idx="274">
                  <c:v>272.48466008092487</c:v>
                </c:pt>
                <c:pt idx="275">
                  <c:v>275.09009389608963</c:v>
                </c:pt>
                <c:pt idx="276">
                  <c:v>277.68848916836788</c:v>
                </c:pt>
                <c:pt idx="277">
                  <c:v>280.27998176841476</c:v>
                </c:pt>
                <c:pt idx="278">
                  <c:v>282.86470552113684</c:v>
                </c:pt>
                <c:pt idx="279">
                  <c:v>285.4427922485504</c:v>
                </c:pt>
                <c:pt idx="280">
                  <c:v>288.01437181074897</c:v>
                </c:pt>
                <c:pt idx="281">
                  <c:v>290.57957214499595</c:v>
                </c:pt>
                <c:pt idx="282">
                  <c:v>293.13851930295192</c:v>
                </c:pt>
                <c:pt idx="283">
                  <c:v>295.69133748604253</c:v>
                </c:pt>
                <c:pt idx="284">
                  <c:v>298.2381490789669</c:v>
                </c:pt>
                <c:pt idx="285">
                  <c:v>300.77907468134134</c:v>
                </c:pt>
                <c:pt idx="286">
                  <c:v>303.31423313746836</c:v>
                </c:pt>
                <c:pt idx="287">
                  <c:v>305.84374156421381</c:v>
                </c:pt>
                <c:pt idx="288">
                  <c:v>308.36771537697035</c:v>
                </c:pt>
                <c:pt idx="289">
                  <c:v>310.88626831367822</c:v>
                </c:pt>
                <c:pt idx="290">
                  <c:v>313.39951245686785</c:v>
                </c:pt>
                <c:pt idx="291">
                  <c:v>315.9075582536824</c:v>
                </c:pt>
                <c:pt idx="292">
                  <c:v>318.41051453382943</c:v>
                </c:pt>
                <c:pt idx="293">
                  <c:v>320.90848852540512</c:v>
                </c:pt>
                <c:pt idx="294">
                  <c:v>323.40158586852471</c:v>
                </c:pt>
                <c:pt idx="295">
                  <c:v>325.88991062668418</c:v>
                </c:pt>
                <c:pt idx="296">
                  <c:v>328.37356529577045</c:v>
                </c:pt>
                <c:pt idx="297">
                  <c:v>330.85265081062596</c:v>
                </c:pt>
                <c:pt idx="298">
                  <c:v>333.32726654906469</c:v>
                </c:pt>
                <c:pt idx="299">
                  <c:v>335.7975103332256</c:v>
                </c:pt>
                <c:pt idx="300">
                  <c:v>338.26347842813885</c:v>
                </c:pt>
                <c:pt idx="301">
                  <c:v>340.72526553736867</c:v>
                </c:pt>
                <c:pt idx="302">
                  <c:v>343.18296479558546</c:v>
                </c:pt>
                <c:pt idx="303">
                  <c:v>345.63666775790836</c:v>
                </c:pt>
                <c:pt idx="304">
                  <c:v>348.08646438584742</c:v>
                </c:pt>
                <c:pt idx="305">
                  <c:v>350.53244302966425</c:v>
                </c:pt>
                <c:pt idx="306">
                  <c:v>352.97469040695887</c:v>
                </c:pt>
                <c:pt idx="307">
                  <c:v>355.41329157728177</c:v>
                </c:pt>
                <c:pt idx="308">
                  <c:v>357.84832991256138</c:v>
                </c:pt>
                <c:pt idx="309">
                  <c:v>360.27988706313312</c:v>
                </c:pt>
                <c:pt idx="310">
                  <c:v>362.70804291915249</c:v>
                </c:pt>
                <c:pt idx="311">
                  <c:v>365.13287556717682</c:v>
                </c:pt>
                <c:pt idx="312">
                  <c:v>367.55446124170669</c:v>
                </c:pt>
                <c:pt idx="313">
                  <c:v>369.97287427149166</c:v>
                </c:pt>
                <c:pt idx="314">
                  <c:v>372.3881870204259</c:v>
                </c:pt>
                <c:pt idx="315">
                  <c:v>374.80046982289053</c:v>
                </c:pt>
                <c:pt idx="316">
                  <c:v>377.20979091344225</c:v>
                </c:pt>
                <c:pt idx="317">
                  <c:v>379.61621635080508</c:v>
                </c:pt>
                <c:pt idx="318">
                  <c:v>382.01980993619424</c:v>
                </c:pt>
                <c:pt idx="319">
                  <c:v>384.42063312609213</c:v>
                </c:pt>
                <c:pt idx="320">
                  <c:v>386.81874493970764</c:v>
                </c:pt>
                <c:pt idx="321">
                  <c:v>389.21420186148038</c:v>
                </c:pt>
                <c:pt idx="322">
                  <c:v>391.60705773914646</c:v>
                </c:pt>
                <c:pt idx="323">
                  <c:v>393.99736367805593</c:v>
                </c:pt>
                <c:pt idx="324">
                  <c:v>396.38516793262505</c:v>
                </c:pt>
                <c:pt idx="325">
                  <c:v>398.77051579601499</c:v>
                </c:pt>
                <c:pt idx="326">
                  <c:v>401.15344948934433</c:v>
                </c:pt>
                <c:pt idx="327">
                  <c:v>403.53400805195719</c:v>
                </c:pt>
                <c:pt idx="328">
                  <c:v>405.91222723447271</c:v>
                </c:pt>
                <c:pt idx="329">
                  <c:v>408.28813939651735</c:v>
                </c:pt>
                <c:pt idx="330">
                  <c:v>410.66177341117674</c:v>
                </c:pt>
                <c:pt idx="331">
                  <c:v>413.03315457828205</c:v>
                </c:pt>
                <c:pt idx="332">
                  <c:v>415.40230454865116</c:v>
                </c:pt>
                <c:pt idx="333">
                  <c:v>417.76924126132712</c:v>
                </c:pt>
                <c:pt idx="334">
                  <c:v>420.1339788956879</c:v>
                </c:pt>
                <c:pt idx="335">
                  <c:v>422.4965278400399</c:v>
                </c:pt>
                <c:pt idx="336">
                  <c:v>424.85689467796237</c:v>
                </c:pt>
                <c:pt idx="337">
                  <c:v>427.21508219325358</c:v>
                </c:pt>
                <c:pt idx="338">
                  <c:v>429.57108939386245</c:v>
                </c:pt>
                <c:pt idx="339">
                  <c:v>431.92491155470037</c:v>
                </c:pt>
                <c:pt idx="340">
                  <c:v>434.27654027874308</c:v>
                </c:pt>
                <c:pt idx="341">
                  <c:v>436.62596357538195</c:v>
                </c:pt>
                <c:pt idx="342">
                  <c:v>438.97316595459102</c:v>
                </c:pt>
                <c:pt idx="343">
                  <c:v>441.31812853516192</c:v>
                </c:pt>
                <c:pt idx="344">
                  <c:v>443.66082916503166</c:v>
                </c:pt>
                <c:pt idx="345">
                  <c:v>446.0012425515975</c:v>
                </c:pt>
                <c:pt idx="346">
                  <c:v>448.33934039986877</c:v>
                </c:pt>
                <c:pt idx="347">
                  <c:v>450.67509155634542</c:v>
                </c:pt>
                <c:pt idx="348">
                  <c:v>453.00846215661795</c:v>
                </c:pt>
                <c:pt idx="349">
                  <c:v>455.33941577484262</c:v>
                </c:pt>
                <c:pt idx="350">
                  <c:v>457.66791357343931</c:v>
                </c:pt>
                <c:pt idx="351">
                  <c:v>459.99391445157443</c:v>
                </c:pt>
                <c:pt idx="352">
                  <c:v>462.3173751912143</c:v>
                </c:pt>
                <c:pt idx="353">
                  <c:v>464.63825059975306</c:v>
                </c:pt>
                <c:pt idx="354">
                  <c:v>466.9564936484274</c:v>
                </c:pt>
                <c:pt idx="355">
                  <c:v>469.27205560592012</c:v>
                </c:pt>
                <c:pt idx="356">
                  <c:v>471.58488616672554</c:v>
                </c:pt>
                <c:pt idx="357">
                  <c:v>473.89493357399624</c:v>
                </c:pt>
                <c:pt idx="358">
                  <c:v>476.2021447367166</c:v>
                </c:pt>
                <c:pt idx="359">
                  <c:v>478.50646534115293</c:v>
                </c:pt>
                <c:pt idx="360">
                  <c:v>480.80783995661329</c:v>
                </c:pt>
                <c:pt idx="361">
                  <c:v>483.10621213561745</c:v>
                </c:pt>
                <c:pt idx="362">
                  <c:v>485.40152450862786</c:v>
                </c:pt>
                <c:pt idx="363">
                  <c:v>487.69371887353066</c:v>
                </c:pt>
                <c:pt idx="364">
                  <c:v>489.98273628008189</c:v>
                </c:pt>
                <c:pt idx="365">
                  <c:v>492.26851710955088</c:v>
                </c:pt>
                <c:pt idx="366">
                  <c:v>494.55100114980371</c:v>
                </c:pt>
                <c:pt idx="367">
                  <c:v>496.8301276660722</c:v>
                </c:pt>
                <c:pt idx="368">
                  <c:v>499.10583546765372</c:v>
                </c:pt>
                <c:pt idx="369">
                  <c:v>501.37806297078203</c:v>
                </c:pt>
                <c:pt idx="370">
                  <c:v>503.64674825790337</c:v>
                </c:pt>
                <c:pt idx="371">
                  <c:v>505.91182913358176</c:v>
                </c:pt>
                <c:pt idx="372">
                  <c:v>508.17324317724831</c:v>
                </c:pt>
                <c:pt idx="373">
                  <c:v>510.43092779299786</c:v>
                </c:pt>
                <c:pt idx="374">
                  <c:v>512.68482025662468</c:v>
                </c:pt>
                <c:pt idx="375">
                  <c:v>514.93485776007765</c:v>
                </c:pt>
                <c:pt idx="376">
                  <c:v>517.18097745350474</c:v>
                </c:pt>
                <c:pt idx="377">
                  <c:v>519.42311648504301</c:v>
                </c:pt>
                <c:pt idx="378">
                  <c:v>521.66121203850309</c:v>
                </c:pt>
                <c:pt idx="379">
                  <c:v>523.895201369083</c:v>
                </c:pt>
                <c:pt idx="380">
                  <c:v>526.12502183723939</c:v>
                </c:pt>
                <c:pt idx="381">
                  <c:v>528.35061094083369</c:v>
                </c:pt>
                <c:pt idx="382">
                  <c:v>530.571906345662</c:v>
                </c:pt>
                <c:pt idx="383">
                  <c:v>532.78884591446888</c:v>
                </c:pt>
                <c:pt idx="384">
                  <c:v>535.00136773453971</c:v>
                </c:pt>
                <c:pt idx="385">
                  <c:v>537.20941014395623</c:v>
                </c:pt>
                <c:pt idx="386">
                  <c:v>539.41291175659615</c:v>
                </c:pt>
                <c:pt idx="387">
                  <c:v>541.61181148594937</c:v>
                </c:pt>
                <c:pt idx="388">
                  <c:v>543.80604856781918</c:v>
                </c:pt>
                <c:pt idx="389">
                  <c:v>545.99556258197163</c:v>
                </c:pt>
                <c:pt idx="390">
                  <c:v>548.18029347279014</c:v>
                </c:pt>
                <c:pt idx="391">
                  <c:v>550.36018156898956</c:v>
                </c:pt>
                <c:pt idx="392">
                  <c:v>552.5351676024394</c:v>
                </c:pt>
                <c:pt idx="393">
                  <c:v>554.70519272614115</c:v>
                </c:pt>
                <c:pt idx="394">
                  <c:v>556.87019853140293</c:v>
                </c:pt>
                <c:pt idx="395">
                  <c:v>559.03012706425091</c:v>
                </c:pt>
                <c:pt idx="396">
                  <c:v>561.18492084111244</c:v>
                </c:pt>
                <c:pt idx="397">
                  <c:v>563.33452286380646</c:v>
                </c:pt>
                <c:pt idx="398">
                  <c:v>565.47887663387121</c:v>
                </c:pt>
                <c:pt idx="399">
                  <c:v>567.61792616625848</c:v>
                </c:pt>
                <c:pt idx="400">
                  <c:v>569.75161600242154</c:v>
                </c:pt>
                <c:pt idx="401">
                  <c:v>571.87989122282204</c:v>
                </c:pt>
                <c:pt idx="402">
                  <c:v>574.00269745887874</c:v>
                </c:pt>
                <c:pt idx="403">
                  <c:v>576.11998090438033</c:v>
                </c:pt>
                <c:pt idx="404">
                  <c:v>578.23168832638169</c:v>
                </c:pt>
                <c:pt idx="405">
                  <c:v>580.33776707560423</c:v>
                </c:pt>
                <c:pt idx="406">
                  <c:v>582.43816509635633</c:v>
                </c:pt>
                <c:pt idx="407">
                  <c:v>584.53283093599111</c:v>
                </c:pt>
                <c:pt idx="408">
                  <c:v>586.62171375391767</c:v>
                </c:pt>
                <c:pt idx="409">
                  <c:v>588.70476333017928</c:v>
                </c:pt>
                <c:pt idx="410">
                  <c:v>590.7819300736129</c:v>
                </c:pt>
                <c:pt idx="411">
                  <c:v>592.85316502960302</c:v>
                </c:pt>
                <c:pt idx="412">
                  <c:v>594.9184198874417</c:v>
                </c:pt>
                <c:pt idx="413">
                  <c:v>596.97764698730623</c:v>
                </c:pt>
                <c:pt idx="414">
                  <c:v>599.03079932686546</c:v>
                </c:pt>
                <c:pt idx="415">
                  <c:v>601.07783056752487</c:v>
                </c:pt>
                <c:pt idx="416">
                  <c:v>603.11869504032052</c:v>
                </c:pt>
                <c:pt idx="417">
                  <c:v>605.15334775147073</c:v>
                </c:pt>
                <c:pt idx="418">
                  <c:v>607.18174438759434</c:v>
                </c:pt>
                <c:pt idx="419">
                  <c:v>609.20384132060406</c:v>
                </c:pt>
                <c:pt idx="420">
                  <c:v>611.21959561228277</c:v>
                </c:pt>
                <c:pt idx="421">
                  <c:v>613.22896501855109</c:v>
                </c:pt>
                <c:pt idx="422">
                  <c:v>615.2319079934324</c:v>
                </c:pt>
                <c:pt idx="423">
                  <c:v>617.22838369272313</c:v>
                </c:pt>
                <c:pt idx="424">
                  <c:v>619.21835197737505</c:v>
                </c:pt>
                <c:pt idx="425">
                  <c:v>621.20177341659621</c:v>
                </c:pt>
                <c:pt idx="426">
                  <c:v>623.17860929067581</c:v>
                </c:pt>
                <c:pt idx="427">
                  <c:v>625.14882159354079</c:v>
                </c:pt>
                <c:pt idx="428">
                  <c:v>627.11237303504856</c:v>
                </c:pt>
                <c:pt idx="429">
                  <c:v>629.06922704302178</c:v>
                </c:pt>
                <c:pt idx="430">
                  <c:v>631.01934776503185</c:v>
                </c:pt>
                <c:pt idx="431">
                  <c:v>632.96270006993484</c:v>
                </c:pt>
                <c:pt idx="432">
                  <c:v>634.89924954916671</c:v>
                </c:pt>
                <c:pt idx="433">
                  <c:v>636.8289625178013</c:v>
                </c:pt>
                <c:pt idx="434">
                  <c:v>638.7518060153775</c:v>
                </c:pt>
                <c:pt idx="435">
                  <c:v>640.66774780649973</c:v>
                </c:pt>
                <c:pt idx="436">
                  <c:v>642.57675638121657</c:v>
                </c:pt>
                <c:pt idx="437">
                  <c:v>644.47880095518246</c:v>
                </c:pt>
                <c:pt idx="438">
                  <c:v>646.37385146960651</c:v>
                </c:pt>
                <c:pt idx="439">
                  <c:v>648.26187859099377</c:v>
                </c:pt>
                <c:pt idx="440">
                  <c:v>650.1428537106824</c:v>
                </c:pt>
                <c:pt idx="441">
                  <c:v>652.01674894418204</c:v>
                </c:pt>
                <c:pt idx="442">
                  <c:v>653.88353713031711</c:v>
                </c:pt>
                <c:pt idx="443">
                  <c:v>655.74319183017883</c:v>
                </c:pt>
                <c:pt idx="444">
                  <c:v>657.59568732589162</c:v>
                </c:pt>
                <c:pt idx="445">
                  <c:v>659.44099861919597</c:v>
                </c:pt>
                <c:pt idx="446">
                  <c:v>661.27910142985365</c:v>
                </c:pt>
                <c:pt idx="447">
                  <c:v>663.10997219387821</c:v>
                </c:pt>
                <c:pt idx="448">
                  <c:v>664.93358806159483</c:v>
                </c:pt>
                <c:pt idx="449">
                  <c:v>666.74992689553392</c:v>
                </c:pt>
                <c:pt idx="450">
                  <c:v>668.55896726816172</c:v>
                </c:pt>
                <c:pt idx="451">
                  <c:v>670.36068845945249</c:v>
                </c:pt>
                <c:pt idx="452">
                  <c:v>672.15507045430502</c:v>
                </c:pt>
                <c:pt idx="453">
                  <c:v>673.94209393980827</c:v>
                </c:pt>
                <c:pt idx="454">
                  <c:v>675.72174030235942</c:v>
                </c:pt>
                <c:pt idx="455">
                  <c:v>677.49399162463749</c:v>
                </c:pt>
                <c:pt idx="456">
                  <c:v>679.25883068243729</c:v>
                </c:pt>
                <c:pt idx="457">
                  <c:v>681.01624094136662</c:v>
                </c:pt>
                <c:pt idx="458">
                  <c:v>682.76620655340992</c:v>
                </c:pt>
                <c:pt idx="459">
                  <c:v>684.50871235336297</c:v>
                </c:pt>
                <c:pt idx="460">
                  <c:v>686.24374385514125</c:v>
                </c:pt>
                <c:pt idx="461">
                  <c:v>687.97128724796585</c:v>
                </c:pt>
                <c:pt idx="462">
                  <c:v>689.69132939243048</c:v>
                </c:pt>
                <c:pt idx="463">
                  <c:v>691.40385781645261</c:v>
                </c:pt>
                <c:pt idx="464">
                  <c:v>693.10886071111258</c:v>
                </c:pt>
                <c:pt idx="465">
                  <c:v>694.80632692638358</c:v>
                </c:pt>
                <c:pt idx="466">
                  <c:v>696.49624596675631</c:v>
                </c:pt>
                <c:pt idx="467">
                  <c:v>698.17860798676145</c:v>
                </c:pt>
                <c:pt idx="468">
                  <c:v>699.85340378639307</c:v>
                </c:pt>
                <c:pt idx="469">
                  <c:v>701.5206248064361</c:v>
                </c:pt>
                <c:pt idx="470">
                  <c:v>703.18026312370148</c:v>
                </c:pt>
                <c:pt idx="471">
                  <c:v>704.8323114461723</c:v>
                </c:pt>
                <c:pt idx="472">
                  <c:v>706.4767631080631</c:v>
                </c:pt>
                <c:pt idx="473">
                  <c:v>708.11361206479671</c:v>
                </c:pt>
                <c:pt idx="474">
                  <c:v>709.74285288790054</c:v>
                </c:pt>
                <c:pt idx="475">
                  <c:v>711.36448075982639</c:v>
                </c:pt>
                <c:pt idx="476">
                  <c:v>712.97849146869612</c:v>
                </c:pt>
                <c:pt idx="477">
                  <c:v>714.58488140297641</c:v>
                </c:pt>
                <c:pt idx="478">
                  <c:v>716.18364754608547</c:v>
                </c:pt>
                <c:pt idx="479">
                  <c:v>717.77478747093494</c:v>
                </c:pt>
                <c:pt idx="480">
                  <c:v>719.35829933440914</c:v>
                </c:pt>
                <c:pt idx="481">
                  <c:v>720.93418187178543</c:v>
                </c:pt>
                <c:pt idx="482">
                  <c:v>722.50243439109784</c:v>
                </c:pt>
                <c:pt idx="483">
                  <c:v>724.06305676744671</c:v>
                </c:pt>
                <c:pt idx="484">
                  <c:v>725.61604943725797</c:v>
                </c:pt>
                <c:pt idx="485">
                  <c:v>727.1614133924935</c:v>
                </c:pt>
                <c:pt idx="486">
                  <c:v>728.69915017481594</c:v>
                </c:pt>
                <c:pt idx="487">
                  <c:v>730.22926186971074</c:v>
                </c:pt>
                <c:pt idx="488">
                  <c:v>731.75175110056784</c:v>
                </c:pt>
                <c:pt idx="489">
                  <c:v>733.26662102272508</c:v>
                </c:pt>
                <c:pt idx="490">
                  <c:v>734.77387531747661</c:v>
                </c:pt>
                <c:pt idx="491">
                  <c:v>736.2735181860487</c:v>
                </c:pt>
                <c:pt idx="492">
                  <c:v>737.76555434354441</c:v>
                </c:pt>
                <c:pt idx="493">
                  <c:v>739.24998901286108</c:v>
                </c:pt>
                <c:pt idx="494">
                  <c:v>740.72682791858165</c:v>
                </c:pt>
                <c:pt idx="495">
                  <c:v>742.19607728084293</c:v>
                </c:pt>
                <c:pt idx="496">
                  <c:v>743.65774380918288</c:v>
                </c:pt>
                <c:pt idx="497">
                  <c:v>745.1118346963691</c:v>
                </c:pt>
                <c:pt idx="498">
                  <c:v>746.55835761221078</c:v>
                </c:pt>
                <c:pt idx="499">
                  <c:v>747.99732069735626</c:v>
                </c:pt>
                <c:pt idx="500">
                  <c:v>749.42873255707855</c:v>
                </c:pt>
                <c:pt idx="501">
                  <c:v>750.85260225505067</c:v>
                </c:pt>
                <c:pt idx="502">
                  <c:v>752.26893930711276</c:v>
                </c:pt>
                <c:pt idx="503">
                  <c:v>753.67775367503327</c:v>
                </c:pt>
                <c:pt idx="504">
                  <c:v>755.07905576026621</c:v>
                </c:pt>
                <c:pt idx="505">
                  <c:v>756.47285639770621</c:v>
                </c:pt>
                <c:pt idx="506">
                  <c:v>757.85916684944311</c:v>
                </c:pt>
                <c:pt idx="507">
                  <c:v>759.23799879851856</c:v>
                </c:pt>
                <c:pt idx="508">
                  <c:v>760.60936434268592</c:v>
                </c:pt>
                <c:pt idx="509">
                  <c:v>761.97327598817537</c:v>
                </c:pt>
                <c:pt idx="510">
                  <c:v>763.32974664346591</c:v>
                </c:pt>
                <c:pt idx="511">
                  <c:v>764.67878961306644</c:v>
                </c:pt>
                <c:pt idx="512">
                  <c:v>764.67878961306644</c:v>
                </c:pt>
                <c:pt idx="513">
                  <c:v>764.67878961306644</c:v>
                </c:pt>
                <c:pt idx="514">
                  <c:v>764.67878961306644</c:v>
                </c:pt>
                <c:pt idx="515">
                  <c:v>764.67878961306644</c:v>
                </c:pt>
                <c:pt idx="516">
                  <c:v>764.67878961306644</c:v>
                </c:pt>
                <c:pt idx="517">
                  <c:v>764.67878961306644</c:v>
                </c:pt>
                <c:pt idx="518">
                  <c:v>764.67878961306644</c:v>
                </c:pt>
                <c:pt idx="519">
                  <c:v>764.67878961306644</c:v>
                </c:pt>
                <c:pt idx="520">
                  <c:v>764.67878961306644</c:v>
                </c:pt>
                <c:pt idx="521">
                  <c:v>764.67878961306644</c:v>
                </c:pt>
                <c:pt idx="522">
                  <c:v>764.67878961306644</c:v>
                </c:pt>
                <c:pt idx="523">
                  <c:v>764.67878961306644</c:v>
                </c:pt>
                <c:pt idx="524">
                  <c:v>764.67878961306644</c:v>
                </c:pt>
                <c:pt idx="525">
                  <c:v>764.67878961306644</c:v>
                </c:pt>
                <c:pt idx="526">
                  <c:v>764.67878961306644</c:v>
                </c:pt>
                <c:pt idx="527">
                  <c:v>764.67878961306644</c:v>
                </c:pt>
                <c:pt idx="528">
                  <c:v>764.67878961306644</c:v>
                </c:pt>
                <c:pt idx="529">
                  <c:v>764.67878961306644</c:v>
                </c:pt>
                <c:pt idx="530">
                  <c:v>764.67878961306644</c:v>
                </c:pt>
                <c:pt idx="531">
                  <c:v>764.67878961306644</c:v>
                </c:pt>
                <c:pt idx="532">
                  <c:v>764.67878961306644</c:v>
                </c:pt>
                <c:pt idx="533">
                  <c:v>764.67878961306644</c:v>
                </c:pt>
                <c:pt idx="534">
                  <c:v>764.67878961306644</c:v>
                </c:pt>
                <c:pt idx="535">
                  <c:v>764.67878961306644</c:v>
                </c:pt>
                <c:pt idx="536">
                  <c:v>764.67878961306644</c:v>
                </c:pt>
                <c:pt idx="537">
                  <c:v>764.67878961306644</c:v>
                </c:pt>
                <c:pt idx="538">
                  <c:v>764.67878961306644</c:v>
                </c:pt>
                <c:pt idx="539">
                  <c:v>764.67878961306644</c:v>
                </c:pt>
                <c:pt idx="540">
                  <c:v>764.67878961306644</c:v>
                </c:pt>
                <c:pt idx="541">
                  <c:v>764.67878961306644</c:v>
                </c:pt>
                <c:pt idx="542">
                  <c:v>764.67878961306644</c:v>
                </c:pt>
                <c:pt idx="543">
                  <c:v>764.67878961306644</c:v>
                </c:pt>
                <c:pt idx="544">
                  <c:v>764.67878961306644</c:v>
                </c:pt>
                <c:pt idx="545">
                  <c:v>764.67878961306644</c:v>
                </c:pt>
                <c:pt idx="546">
                  <c:v>764.67878961306644</c:v>
                </c:pt>
                <c:pt idx="547">
                  <c:v>764.67878961306644</c:v>
                </c:pt>
                <c:pt idx="548">
                  <c:v>764.67878961306644</c:v>
                </c:pt>
                <c:pt idx="549">
                  <c:v>764.67878961306644</c:v>
                </c:pt>
                <c:pt idx="550">
                  <c:v>764.67878961306644</c:v>
                </c:pt>
                <c:pt idx="551">
                  <c:v>764.67878961306644</c:v>
                </c:pt>
                <c:pt idx="552">
                  <c:v>764.67878961306644</c:v>
                </c:pt>
                <c:pt idx="553">
                  <c:v>764.67878961306644</c:v>
                </c:pt>
                <c:pt idx="554">
                  <c:v>764.67878961306644</c:v>
                </c:pt>
                <c:pt idx="555">
                  <c:v>764.67878961306644</c:v>
                </c:pt>
                <c:pt idx="556">
                  <c:v>764.67878961306644</c:v>
                </c:pt>
                <c:pt idx="557">
                  <c:v>764.67878961306644</c:v>
                </c:pt>
                <c:pt idx="558">
                  <c:v>764.67878961306644</c:v>
                </c:pt>
                <c:pt idx="559">
                  <c:v>764.67878961306644</c:v>
                </c:pt>
                <c:pt idx="560">
                  <c:v>764.67878961306644</c:v>
                </c:pt>
                <c:pt idx="561">
                  <c:v>764.67878961306644</c:v>
                </c:pt>
                <c:pt idx="562">
                  <c:v>764.67878961306644</c:v>
                </c:pt>
                <c:pt idx="563">
                  <c:v>764.67878961306644</c:v>
                </c:pt>
                <c:pt idx="564">
                  <c:v>764.67878961306644</c:v>
                </c:pt>
                <c:pt idx="565">
                  <c:v>764.67878961306644</c:v>
                </c:pt>
                <c:pt idx="566">
                  <c:v>764.67878961306644</c:v>
                </c:pt>
                <c:pt idx="567">
                  <c:v>764.67878961306644</c:v>
                </c:pt>
                <c:pt idx="568">
                  <c:v>764.67878961306644</c:v>
                </c:pt>
                <c:pt idx="569">
                  <c:v>764.67878961306644</c:v>
                </c:pt>
                <c:pt idx="570">
                  <c:v>764.67878961306644</c:v>
                </c:pt>
                <c:pt idx="571">
                  <c:v>764.67878961306644</c:v>
                </c:pt>
                <c:pt idx="572">
                  <c:v>764.67878961306644</c:v>
                </c:pt>
                <c:pt idx="573">
                  <c:v>764.67878961306644</c:v>
                </c:pt>
                <c:pt idx="574">
                  <c:v>764.67878961306644</c:v>
                </c:pt>
                <c:pt idx="575">
                  <c:v>764.67878961306644</c:v>
                </c:pt>
                <c:pt idx="576">
                  <c:v>764.67878961306644</c:v>
                </c:pt>
                <c:pt idx="577">
                  <c:v>764.67878961306644</c:v>
                </c:pt>
                <c:pt idx="578">
                  <c:v>764.67878961306644</c:v>
                </c:pt>
                <c:pt idx="579">
                  <c:v>764.67878961306644</c:v>
                </c:pt>
                <c:pt idx="580">
                  <c:v>764.67878961306644</c:v>
                </c:pt>
                <c:pt idx="581">
                  <c:v>764.67878961306644</c:v>
                </c:pt>
                <c:pt idx="582">
                  <c:v>764.67878961306644</c:v>
                </c:pt>
                <c:pt idx="583">
                  <c:v>764.67878961306644</c:v>
                </c:pt>
                <c:pt idx="584">
                  <c:v>764.67878961306644</c:v>
                </c:pt>
                <c:pt idx="585">
                  <c:v>764.67878961306644</c:v>
                </c:pt>
                <c:pt idx="586">
                  <c:v>764.67878961306644</c:v>
                </c:pt>
                <c:pt idx="587">
                  <c:v>764.67878961306644</c:v>
                </c:pt>
                <c:pt idx="588">
                  <c:v>764.67878961306644</c:v>
                </c:pt>
                <c:pt idx="589">
                  <c:v>764.67878961306644</c:v>
                </c:pt>
                <c:pt idx="590">
                  <c:v>764.67878961306644</c:v>
                </c:pt>
                <c:pt idx="591">
                  <c:v>764.67878961306644</c:v>
                </c:pt>
                <c:pt idx="592">
                  <c:v>764.67878961306644</c:v>
                </c:pt>
                <c:pt idx="593">
                  <c:v>764.67878961306644</c:v>
                </c:pt>
                <c:pt idx="594">
                  <c:v>764.67878961306644</c:v>
                </c:pt>
                <c:pt idx="595">
                  <c:v>764.67878961306644</c:v>
                </c:pt>
                <c:pt idx="596">
                  <c:v>764.67878961306644</c:v>
                </c:pt>
                <c:pt idx="597">
                  <c:v>764.67878961306644</c:v>
                </c:pt>
                <c:pt idx="598">
                  <c:v>764.67878961306644</c:v>
                </c:pt>
                <c:pt idx="599">
                  <c:v>764.67878961306644</c:v>
                </c:pt>
                <c:pt idx="600">
                  <c:v>764.67878961306644</c:v>
                </c:pt>
                <c:pt idx="601">
                  <c:v>764.67878961306644</c:v>
                </c:pt>
                <c:pt idx="602">
                  <c:v>764.67878961306644</c:v>
                </c:pt>
                <c:pt idx="603">
                  <c:v>764.67878961306644</c:v>
                </c:pt>
                <c:pt idx="604">
                  <c:v>764.67878961306644</c:v>
                </c:pt>
                <c:pt idx="605">
                  <c:v>764.67878961306644</c:v>
                </c:pt>
                <c:pt idx="606">
                  <c:v>764.67878961306644</c:v>
                </c:pt>
                <c:pt idx="607">
                  <c:v>764.67878961306644</c:v>
                </c:pt>
                <c:pt idx="608">
                  <c:v>764.67878961306644</c:v>
                </c:pt>
                <c:pt idx="609">
                  <c:v>764.67878961306644</c:v>
                </c:pt>
                <c:pt idx="610">
                  <c:v>764.67878961306644</c:v>
                </c:pt>
                <c:pt idx="611">
                  <c:v>764.67878961306644</c:v>
                </c:pt>
                <c:pt idx="612">
                  <c:v>764.67878961306644</c:v>
                </c:pt>
                <c:pt idx="613">
                  <c:v>764.67878961306644</c:v>
                </c:pt>
                <c:pt idx="614">
                  <c:v>764.67878961306644</c:v>
                </c:pt>
                <c:pt idx="615">
                  <c:v>764.67878961306644</c:v>
                </c:pt>
                <c:pt idx="616">
                  <c:v>764.67878961306644</c:v>
                </c:pt>
                <c:pt idx="617">
                  <c:v>764.67878961306644</c:v>
                </c:pt>
                <c:pt idx="618">
                  <c:v>764.67878961306644</c:v>
                </c:pt>
                <c:pt idx="619">
                  <c:v>764.67878961306644</c:v>
                </c:pt>
                <c:pt idx="620">
                  <c:v>764.67878961306644</c:v>
                </c:pt>
                <c:pt idx="621">
                  <c:v>764.67878961306644</c:v>
                </c:pt>
                <c:pt idx="622">
                  <c:v>764.67878961306644</c:v>
                </c:pt>
                <c:pt idx="623">
                  <c:v>764.67878961306644</c:v>
                </c:pt>
                <c:pt idx="624">
                  <c:v>764.67878961306644</c:v>
                </c:pt>
                <c:pt idx="625">
                  <c:v>764.67878961306644</c:v>
                </c:pt>
                <c:pt idx="626">
                  <c:v>764.67878961306644</c:v>
                </c:pt>
                <c:pt idx="627">
                  <c:v>764.67878961306644</c:v>
                </c:pt>
                <c:pt idx="628">
                  <c:v>764.67878961306644</c:v>
                </c:pt>
                <c:pt idx="629">
                  <c:v>764.67878961306644</c:v>
                </c:pt>
                <c:pt idx="630">
                  <c:v>764.67878961306644</c:v>
                </c:pt>
                <c:pt idx="631">
                  <c:v>764.67878961306644</c:v>
                </c:pt>
                <c:pt idx="632">
                  <c:v>764.67878961306644</c:v>
                </c:pt>
                <c:pt idx="633">
                  <c:v>764.67878961306644</c:v>
                </c:pt>
                <c:pt idx="634">
                  <c:v>764.67878961306644</c:v>
                </c:pt>
                <c:pt idx="635">
                  <c:v>764.67878961306644</c:v>
                </c:pt>
                <c:pt idx="636">
                  <c:v>764.67878961306644</c:v>
                </c:pt>
                <c:pt idx="637">
                  <c:v>764.67878961306644</c:v>
                </c:pt>
                <c:pt idx="638">
                  <c:v>764.67878961306644</c:v>
                </c:pt>
                <c:pt idx="639">
                  <c:v>764.67878961306644</c:v>
                </c:pt>
                <c:pt idx="640">
                  <c:v>764.67878961306644</c:v>
                </c:pt>
                <c:pt idx="641">
                  <c:v>764.67878961306644</c:v>
                </c:pt>
                <c:pt idx="642">
                  <c:v>764.67878961306644</c:v>
                </c:pt>
                <c:pt idx="643">
                  <c:v>764.67878961306644</c:v>
                </c:pt>
                <c:pt idx="644">
                  <c:v>764.67878961306644</c:v>
                </c:pt>
                <c:pt idx="645">
                  <c:v>764.67878961306644</c:v>
                </c:pt>
                <c:pt idx="646">
                  <c:v>764.67878961306644</c:v>
                </c:pt>
                <c:pt idx="647">
                  <c:v>764.67878961306644</c:v>
                </c:pt>
                <c:pt idx="648">
                  <c:v>764.67878961306644</c:v>
                </c:pt>
                <c:pt idx="649">
                  <c:v>764.67878961306644</c:v>
                </c:pt>
                <c:pt idx="650">
                  <c:v>764.67878961306644</c:v>
                </c:pt>
                <c:pt idx="651">
                  <c:v>764.67878961306644</c:v>
                </c:pt>
                <c:pt idx="652">
                  <c:v>764.67878961306644</c:v>
                </c:pt>
                <c:pt idx="653">
                  <c:v>764.67878961306644</c:v>
                </c:pt>
                <c:pt idx="654">
                  <c:v>764.67878961306644</c:v>
                </c:pt>
                <c:pt idx="655">
                  <c:v>764.67878961306644</c:v>
                </c:pt>
                <c:pt idx="656">
                  <c:v>764.67878961306644</c:v>
                </c:pt>
                <c:pt idx="657">
                  <c:v>764.67878961306644</c:v>
                </c:pt>
                <c:pt idx="658">
                  <c:v>764.67878961306644</c:v>
                </c:pt>
                <c:pt idx="659">
                  <c:v>764.67878961306644</c:v>
                </c:pt>
                <c:pt idx="660">
                  <c:v>764.67878961306644</c:v>
                </c:pt>
                <c:pt idx="661">
                  <c:v>764.67878961306644</c:v>
                </c:pt>
                <c:pt idx="662">
                  <c:v>764.67878961306644</c:v>
                </c:pt>
                <c:pt idx="663">
                  <c:v>764.67878961306644</c:v>
                </c:pt>
                <c:pt idx="664">
                  <c:v>764.67878961306644</c:v>
                </c:pt>
                <c:pt idx="665">
                  <c:v>764.67878961306644</c:v>
                </c:pt>
                <c:pt idx="666">
                  <c:v>764.67878961306644</c:v>
                </c:pt>
                <c:pt idx="667">
                  <c:v>764.67878961306644</c:v>
                </c:pt>
                <c:pt idx="668">
                  <c:v>764.67878961306644</c:v>
                </c:pt>
                <c:pt idx="669">
                  <c:v>764.67878961306644</c:v>
                </c:pt>
                <c:pt idx="670">
                  <c:v>764.67878961306644</c:v>
                </c:pt>
                <c:pt idx="671">
                  <c:v>764.67878961306644</c:v>
                </c:pt>
                <c:pt idx="672">
                  <c:v>764.67878961306644</c:v>
                </c:pt>
                <c:pt idx="673">
                  <c:v>764.67878961306644</c:v>
                </c:pt>
                <c:pt idx="674">
                  <c:v>764.67878961306644</c:v>
                </c:pt>
                <c:pt idx="675">
                  <c:v>764.67878961306644</c:v>
                </c:pt>
                <c:pt idx="676">
                  <c:v>764.67878961306644</c:v>
                </c:pt>
                <c:pt idx="677">
                  <c:v>764.67878961306644</c:v>
                </c:pt>
                <c:pt idx="678">
                  <c:v>764.67878961306644</c:v>
                </c:pt>
                <c:pt idx="679">
                  <c:v>764.67878961306644</c:v>
                </c:pt>
                <c:pt idx="680">
                  <c:v>764.67878961306644</c:v>
                </c:pt>
                <c:pt idx="681">
                  <c:v>764.67878961306644</c:v>
                </c:pt>
                <c:pt idx="682">
                  <c:v>764.67878961306644</c:v>
                </c:pt>
                <c:pt idx="683">
                  <c:v>764.67878961306644</c:v>
                </c:pt>
                <c:pt idx="684">
                  <c:v>764.67878961306644</c:v>
                </c:pt>
                <c:pt idx="685">
                  <c:v>764.67878961306644</c:v>
                </c:pt>
                <c:pt idx="686">
                  <c:v>764.67878961306644</c:v>
                </c:pt>
                <c:pt idx="687">
                  <c:v>764.67878961306644</c:v>
                </c:pt>
                <c:pt idx="688">
                  <c:v>764.67878961306644</c:v>
                </c:pt>
                <c:pt idx="689">
                  <c:v>764.67878961306644</c:v>
                </c:pt>
                <c:pt idx="690">
                  <c:v>764.67878961306644</c:v>
                </c:pt>
                <c:pt idx="691">
                  <c:v>764.67878961306644</c:v>
                </c:pt>
                <c:pt idx="692">
                  <c:v>764.67878961306644</c:v>
                </c:pt>
                <c:pt idx="693">
                  <c:v>764.67878961306644</c:v>
                </c:pt>
                <c:pt idx="694">
                  <c:v>764.67878961306644</c:v>
                </c:pt>
                <c:pt idx="695">
                  <c:v>764.67878961306644</c:v>
                </c:pt>
                <c:pt idx="696">
                  <c:v>764.67878961306644</c:v>
                </c:pt>
                <c:pt idx="697">
                  <c:v>764.67878961306644</c:v>
                </c:pt>
                <c:pt idx="698">
                  <c:v>764.67878961306644</c:v>
                </c:pt>
                <c:pt idx="699">
                  <c:v>764.67878961306644</c:v>
                </c:pt>
                <c:pt idx="700">
                  <c:v>764.67878961306644</c:v>
                </c:pt>
                <c:pt idx="701">
                  <c:v>764.67878961306644</c:v>
                </c:pt>
                <c:pt idx="702">
                  <c:v>764.67878961306644</c:v>
                </c:pt>
                <c:pt idx="703">
                  <c:v>764.67878961306644</c:v>
                </c:pt>
                <c:pt idx="704">
                  <c:v>764.67878961306644</c:v>
                </c:pt>
                <c:pt idx="705">
                  <c:v>764.67878961306644</c:v>
                </c:pt>
                <c:pt idx="706">
                  <c:v>764.67878961306644</c:v>
                </c:pt>
                <c:pt idx="707">
                  <c:v>764.67878961306644</c:v>
                </c:pt>
                <c:pt idx="708">
                  <c:v>764.67878961306644</c:v>
                </c:pt>
                <c:pt idx="709">
                  <c:v>764.67878961306644</c:v>
                </c:pt>
                <c:pt idx="710">
                  <c:v>764.67878961306644</c:v>
                </c:pt>
                <c:pt idx="711">
                  <c:v>764.67878961306644</c:v>
                </c:pt>
                <c:pt idx="712">
                  <c:v>764.67878961306644</c:v>
                </c:pt>
                <c:pt idx="713">
                  <c:v>764.67878961306644</c:v>
                </c:pt>
                <c:pt idx="714">
                  <c:v>764.67878961306644</c:v>
                </c:pt>
                <c:pt idx="715">
                  <c:v>764.67878961306644</c:v>
                </c:pt>
                <c:pt idx="716">
                  <c:v>764.67878961306644</c:v>
                </c:pt>
                <c:pt idx="717">
                  <c:v>764.67878961306644</c:v>
                </c:pt>
                <c:pt idx="718">
                  <c:v>764.67878961306644</c:v>
                </c:pt>
                <c:pt idx="719">
                  <c:v>764.67878961306644</c:v>
                </c:pt>
                <c:pt idx="720">
                  <c:v>764.67878961306644</c:v>
                </c:pt>
                <c:pt idx="721">
                  <c:v>764.67878961306644</c:v>
                </c:pt>
                <c:pt idx="722">
                  <c:v>764.67878961306644</c:v>
                </c:pt>
                <c:pt idx="723">
                  <c:v>764.67878961306644</c:v>
                </c:pt>
                <c:pt idx="724">
                  <c:v>764.67878961306644</c:v>
                </c:pt>
                <c:pt idx="725">
                  <c:v>764.67878961306644</c:v>
                </c:pt>
                <c:pt idx="726">
                  <c:v>764.67878961306644</c:v>
                </c:pt>
                <c:pt idx="727">
                  <c:v>764.67878961306644</c:v>
                </c:pt>
                <c:pt idx="728">
                  <c:v>764.67878961306644</c:v>
                </c:pt>
                <c:pt idx="729">
                  <c:v>764.67878961306644</c:v>
                </c:pt>
                <c:pt idx="730">
                  <c:v>764.67878961306644</c:v>
                </c:pt>
                <c:pt idx="731">
                  <c:v>764.67878961306644</c:v>
                </c:pt>
                <c:pt idx="732">
                  <c:v>764.67878961306644</c:v>
                </c:pt>
                <c:pt idx="733">
                  <c:v>764.67878961306644</c:v>
                </c:pt>
                <c:pt idx="734">
                  <c:v>764.67878961306644</c:v>
                </c:pt>
                <c:pt idx="735">
                  <c:v>764.67878961306644</c:v>
                </c:pt>
                <c:pt idx="736">
                  <c:v>764.67878961306644</c:v>
                </c:pt>
                <c:pt idx="737">
                  <c:v>764.67878961306644</c:v>
                </c:pt>
                <c:pt idx="738">
                  <c:v>764.67878961306644</c:v>
                </c:pt>
                <c:pt idx="739">
                  <c:v>764.67878961306644</c:v>
                </c:pt>
                <c:pt idx="740">
                  <c:v>764.67878961306644</c:v>
                </c:pt>
                <c:pt idx="741">
                  <c:v>764.67878961306644</c:v>
                </c:pt>
                <c:pt idx="742">
                  <c:v>764.67878961306644</c:v>
                </c:pt>
                <c:pt idx="743">
                  <c:v>764.67878961306644</c:v>
                </c:pt>
                <c:pt idx="744">
                  <c:v>764.67878961306644</c:v>
                </c:pt>
                <c:pt idx="745">
                  <c:v>764.67878961306644</c:v>
                </c:pt>
                <c:pt idx="746">
                  <c:v>764.67878961306644</c:v>
                </c:pt>
                <c:pt idx="747">
                  <c:v>764.67878961306644</c:v>
                </c:pt>
                <c:pt idx="748">
                  <c:v>764.67878961306644</c:v>
                </c:pt>
                <c:pt idx="749">
                  <c:v>764.67878961306644</c:v>
                </c:pt>
                <c:pt idx="750">
                  <c:v>764.67878961306644</c:v>
                </c:pt>
                <c:pt idx="751">
                  <c:v>764.67878961306644</c:v>
                </c:pt>
                <c:pt idx="752">
                  <c:v>764.67878961306644</c:v>
                </c:pt>
                <c:pt idx="753">
                  <c:v>764.67878961306644</c:v>
                </c:pt>
                <c:pt idx="754">
                  <c:v>764.67878961306644</c:v>
                </c:pt>
                <c:pt idx="755">
                  <c:v>764.67878961306644</c:v>
                </c:pt>
                <c:pt idx="756">
                  <c:v>764.67878961306644</c:v>
                </c:pt>
                <c:pt idx="757">
                  <c:v>764.67878961306644</c:v>
                </c:pt>
                <c:pt idx="758">
                  <c:v>764.67878961306644</c:v>
                </c:pt>
                <c:pt idx="759">
                  <c:v>764.67878961306644</c:v>
                </c:pt>
                <c:pt idx="760">
                  <c:v>764.67878961306644</c:v>
                </c:pt>
                <c:pt idx="761">
                  <c:v>764.67878961306644</c:v>
                </c:pt>
                <c:pt idx="762">
                  <c:v>764.67878961306644</c:v>
                </c:pt>
                <c:pt idx="763">
                  <c:v>764.67878961306644</c:v>
                </c:pt>
                <c:pt idx="764">
                  <c:v>764.67878961306644</c:v>
                </c:pt>
                <c:pt idx="765">
                  <c:v>764.67878961306644</c:v>
                </c:pt>
                <c:pt idx="766">
                  <c:v>764.67878961306644</c:v>
                </c:pt>
                <c:pt idx="767">
                  <c:v>764.67878961306644</c:v>
                </c:pt>
                <c:pt idx="768">
                  <c:v>764.67878961306644</c:v>
                </c:pt>
                <c:pt idx="769">
                  <c:v>764.67878961306644</c:v>
                </c:pt>
                <c:pt idx="770">
                  <c:v>764.67878961306644</c:v>
                </c:pt>
                <c:pt idx="771">
                  <c:v>764.67878961306644</c:v>
                </c:pt>
                <c:pt idx="772">
                  <c:v>764.67878961306644</c:v>
                </c:pt>
                <c:pt idx="773">
                  <c:v>764.67878961306644</c:v>
                </c:pt>
                <c:pt idx="774">
                  <c:v>764.67878961306644</c:v>
                </c:pt>
                <c:pt idx="775">
                  <c:v>764.67878961306644</c:v>
                </c:pt>
                <c:pt idx="776">
                  <c:v>764.67878961306644</c:v>
                </c:pt>
                <c:pt idx="777">
                  <c:v>764.67878961306644</c:v>
                </c:pt>
                <c:pt idx="778">
                  <c:v>764.67878961306644</c:v>
                </c:pt>
                <c:pt idx="779">
                  <c:v>764.67878961306644</c:v>
                </c:pt>
                <c:pt idx="780">
                  <c:v>764.67878961306644</c:v>
                </c:pt>
                <c:pt idx="781">
                  <c:v>764.67878961306644</c:v>
                </c:pt>
                <c:pt idx="782">
                  <c:v>764.67878961306644</c:v>
                </c:pt>
                <c:pt idx="783">
                  <c:v>764.67878961306644</c:v>
                </c:pt>
                <c:pt idx="784">
                  <c:v>764.67878961306644</c:v>
                </c:pt>
                <c:pt idx="785">
                  <c:v>764.67878961306644</c:v>
                </c:pt>
                <c:pt idx="786">
                  <c:v>764.67878961306644</c:v>
                </c:pt>
                <c:pt idx="787">
                  <c:v>764.67878961306644</c:v>
                </c:pt>
                <c:pt idx="788">
                  <c:v>764.67878961306644</c:v>
                </c:pt>
                <c:pt idx="789">
                  <c:v>764.67878961306644</c:v>
                </c:pt>
                <c:pt idx="790">
                  <c:v>764.67878961306644</c:v>
                </c:pt>
                <c:pt idx="791">
                  <c:v>764.67878961306644</c:v>
                </c:pt>
                <c:pt idx="792">
                  <c:v>764.67878961306644</c:v>
                </c:pt>
                <c:pt idx="793">
                  <c:v>764.67878961306644</c:v>
                </c:pt>
                <c:pt idx="794">
                  <c:v>764.67878961306644</c:v>
                </c:pt>
                <c:pt idx="795">
                  <c:v>764.67878961306644</c:v>
                </c:pt>
                <c:pt idx="796">
                  <c:v>764.67878961306644</c:v>
                </c:pt>
                <c:pt idx="797">
                  <c:v>764.67878961306644</c:v>
                </c:pt>
                <c:pt idx="798">
                  <c:v>764.67878961306644</c:v>
                </c:pt>
                <c:pt idx="799">
                  <c:v>764.67878961306644</c:v>
                </c:pt>
                <c:pt idx="800">
                  <c:v>764.67878961306644</c:v>
                </c:pt>
                <c:pt idx="801">
                  <c:v>764.67878961306644</c:v>
                </c:pt>
                <c:pt idx="802">
                  <c:v>764.67878961306644</c:v>
                </c:pt>
                <c:pt idx="803">
                  <c:v>764.67878961306644</c:v>
                </c:pt>
                <c:pt idx="804">
                  <c:v>764.67878961306644</c:v>
                </c:pt>
                <c:pt idx="805">
                  <c:v>764.67878961306644</c:v>
                </c:pt>
                <c:pt idx="806">
                  <c:v>764.67878961306644</c:v>
                </c:pt>
                <c:pt idx="807">
                  <c:v>764.67878961306644</c:v>
                </c:pt>
                <c:pt idx="808">
                  <c:v>764.67878961306644</c:v>
                </c:pt>
                <c:pt idx="809">
                  <c:v>764.67878961306644</c:v>
                </c:pt>
                <c:pt idx="810">
                  <c:v>764.67878961306644</c:v>
                </c:pt>
                <c:pt idx="811">
                  <c:v>764.67878961306644</c:v>
                </c:pt>
                <c:pt idx="812">
                  <c:v>764.67878961306644</c:v>
                </c:pt>
                <c:pt idx="813">
                  <c:v>764.67878961306644</c:v>
                </c:pt>
                <c:pt idx="814">
                  <c:v>764.67878961306644</c:v>
                </c:pt>
                <c:pt idx="815">
                  <c:v>764.67878961306644</c:v>
                </c:pt>
                <c:pt idx="816">
                  <c:v>764.67878961306644</c:v>
                </c:pt>
                <c:pt idx="817">
                  <c:v>764.67878961306644</c:v>
                </c:pt>
                <c:pt idx="818">
                  <c:v>764.67878961306644</c:v>
                </c:pt>
                <c:pt idx="819">
                  <c:v>764.67878961306644</c:v>
                </c:pt>
                <c:pt idx="820">
                  <c:v>764.67878961306644</c:v>
                </c:pt>
                <c:pt idx="821">
                  <c:v>764.67878961306644</c:v>
                </c:pt>
                <c:pt idx="822">
                  <c:v>764.67878961306644</c:v>
                </c:pt>
                <c:pt idx="823">
                  <c:v>764.67878961306644</c:v>
                </c:pt>
                <c:pt idx="824">
                  <c:v>764.67878961306644</c:v>
                </c:pt>
                <c:pt idx="825">
                  <c:v>764.67878961306644</c:v>
                </c:pt>
                <c:pt idx="826">
                  <c:v>764.67878961306644</c:v>
                </c:pt>
                <c:pt idx="827">
                  <c:v>764.67878961306644</c:v>
                </c:pt>
                <c:pt idx="828">
                  <c:v>764.67878961306644</c:v>
                </c:pt>
                <c:pt idx="829">
                  <c:v>764.67878961306644</c:v>
                </c:pt>
                <c:pt idx="830">
                  <c:v>764.67878961306644</c:v>
                </c:pt>
                <c:pt idx="831">
                  <c:v>764.67878961306644</c:v>
                </c:pt>
                <c:pt idx="832">
                  <c:v>764.67878961306644</c:v>
                </c:pt>
                <c:pt idx="833">
                  <c:v>764.67878961306644</c:v>
                </c:pt>
                <c:pt idx="834">
                  <c:v>764.67878961306644</c:v>
                </c:pt>
                <c:pt idx="835">
                  <c:v>764.67878961306644</c:v>
                </c:pt>
                <c:pt idx="836">
                  <c:v>764.67878961306644</c:v>
                </c:pt>
                <c:pt idx="837">
                  <c:v>764.67878961306644</c:v>
                </c:pt>
                <c:pt idx="838">
                  <c:v>764.67878961306644</c:v>
                </c:pt>
                <c:pt idx="839">
                  <c:v>764.67878961306644</c:v>
                </c:pt>
                <c:pt idx="840">
                  <c:v>764.67878961306644</c:v>
                </c:pt>
                <c:pt idx="841">
                  <c:v>764.67878961306644</c:v>
                </c:pt>
                <c:pt idx="842">
                  <c:v>764.67878961306644</c:v>
                </c:pt>
                <c:pt idx="843">
                  <c:v>764.67878961306644</c:v>
                </c:pt>
                <c:pt idx="844">
                  <c:v>764.67878961306644</c:v>
                </c:pt>
                <c:pt idx="845">
                  <c:v>764.67878961306644</c:v>
                </c:pt>
                <c:pt idx="846">
                  <c:v>764.67878961306644</c:v>
                </c:pt>
                <c:pt idx="847">
                  <c:v>764.67878961306644</c:v>
                </c:pt>
                <c:pt idx="848">
                  <c:v>764.67878961306644</c:v>
                </c:pt>
                <c:pt idx="849">
                  <c:v>764.67878961306644</c:v>
                </c:pt>
                <c:pt idx="850">
                  <c:v>764.67878961306644</c:v>
                </c:pt>
                <c:pt idx="851">
                  <c:v>764.67878961306644</c:v>
                </c:pt>
                <c:pt idx="852">
                  <c:v>764.67878961306644</c:v>
                </c:pt>
                <c:pt idx="853">
                  <c:v>764.67878961306644</c:v>
                </c:pt>
                <c:pt idx="854">
                  <c:v>764.67878961306644</c:v>
                </c:pt>
                <c:pt idx="855">
                  <c:v>764.67878961306644</c:v>
                </c:pt>
                <c:pt idx="856">
                  <c:v>764.67878961306644</c:v>
                </c:pt>
                <c:pt idx="857">
                  <c:v>764.67878961306644</c:v>
                </c:pt>
                <c:pt idx="858">
                  <c:v>764.67878961306644</c:v>
                </c:pt>
                <c:pt idx="859">
                  <c:v>764.67878961306644</c:v>
                </c:pt>
                <c:pt idx="860">
                  <c:v>764.67878961306644</c:v>
                </c:pt>
                <c:pt idx="861">
                  <c:v>764.67878961306644</c:v>
                </c:pt>
                <c:pt idx="862">
                  <c:v>764.67878961306644</c:v>
                </c:pt>
                <c:pt idx="863">
                  <c:v>764.67878961306644</c:v>
                </c:pt>
                <c:pt idx="864">
                  <c:v>764.67878961306644</c:v>
                </c:pt>
                <c:pt idx="865">
                  <c:v>764.67878961306644</c:v>
                </c:pt>
                <c:pt idx="866">
                  <c:v>764.67878961306644</c:v>
                </c:pt>
                <c:pt idx="867">
                  <c:v>764.67878961306644</c:v>
                </c:pt>
                <c:pt idx="868">
                  <c:v>764.67878961306644</c:v>
                </c:pt>
                <c:pt idx="869">
                  <c:v>764.67878961306644</c:v>
                </c:pt>
                <c:pt idx="870">
                  <c:v>764.67878961306644</c:v>
                </c:pt>
                <c:pt idx="871">
                  <c:v>764.67878961306644</c:v>
                </c:pt>
                <c:pt idx="872">
                  <c:v>764.67878961306644</c:v>
                </c:pt>
                <c:pt idx="873">
                  <c:v>764.67878961306644</c:v>
                </c:pt>
                <c:pt idx="874">
                  <c:v>764.67878961306644</c:v>
                </c:pt>
                <c:pt idx="875">
                  <c:v>764.67878961306644</c:v>
                </c:pt>
                <c:pt idx="876">
                  <c:v>764.67878961306644</c:v>
                </c:pt>
                <c:pt idx="877">
                  <c:v>764.67878961306644</c:v>
                </c:pt>
                <c:pt idx="878">
                  <c:v>764.67878961306644</c:v>
                </c:pt>
                <c:pt idx="879">
                  <c:v>764.67878961306644</c:v>
                </c:pt>
                <c:pt idx="880">
                  <c:v>764.67878961306644</c:v>
                </c:pt>
                <c:pt idx="881">
                  <c:v>764.67878961306644</c:v>
                </c:pt>
                <c:pt idx="882">
                  <c:v>764.67878961306644</c:v>
                </c:pt>
                <c:pt idx="883">
                  <c:v>764.67878961306644</c:v>
                </c:pt>
                <c:pt idx="884">
                  <c:v>764.67878961306644</c:v>
                </c:pt>
                <c:pt idx="885">
                  <c:v>764.67878961306644</c:v>
                </c:pt>
                <c:pt idx="886">
                  <c:v>764.67878961306644</c:v>
                </c:pt>
                <c:pt idx="887">
                  <c:v>764.67878961306644</c:v>
                </c:pt>
                <c:pt idx="888">
                  <c:v>764.67878961306644</c:v>
                </c:pt>
                <c:pt idx="889">
                  <c:v>764.67878961306644</c:v>
                </c:pt>
                <c:pt idx="890">
                  <c:v>764.67878961306644</c:v>
                </c:pt>
                <c:pt idx="891">
                  <c:v>764.67878961306644</c:v>
                </c:pt>
                <c:pt idx="892">
                  <c:v>764.67878961306644</c:v>
                </c:pt>
                <c:pt idx="893">
                  <c:v>764.67878961306644</c:v>
                </c:pt>
                <c:pt idx="894">
                  <c:v>764.67878961306644</c:v>
                </c:pt>
                <c:pt idx="895">
                  <c:v>764.67878961306644</c:v>
                </c:pt>
                <c:pt idx="896">
                  <c:v>764.67878961306644</c:v>
                </c:pt>
                <c:pt idx="897">
                  <c:v>764.67878961306644</c:v>
                </c:pt>
                <c:pt idx="898">
                  <c:v>764.67878961306644</c:v>
                </c:pt>
                <c:pt idx="899">
                  <c:v>764.67878961306644</c:v>
                </c:pt>
                <c:pt idx="900">
                  <c:v>764.67878961306644</c:v>
                </c:pt>
                <c:pt idx="901">
                  <c:v>764.67878961306644</c:v>
                </c:pt>
                <c:pt idx="902">
                  <c:v>764.67878961306644</c:v>
                </c:pt>
                <c:pt idx="903">
                  <c:v>764.67878961306644</c:v>
                </c:pt>
                <c:pt idx="904">
                  <c:v>764.67878961306644</c:v>
                </c:pt>
                <c:pt idx="905">
                  <c:v>764.67878961306644</c:v>
                </c:pt>
                <c:pt idx="906">
                  <c:v>764.67878961306644</c:v>
                </c:pt>
                <c:pt idx="907">
                  <c:v>764.67878961306644</c:v>
                </c:pt>
                <c:pt idx="908">
                  <c:v>764.67878961306644</c:v>
                </c:pt>
                <c:pt idx="909">
                  <c:v>764.67878961306644</c:v>
                </c:pt>
                <c:pt idx="910">
                  <c:v>764.67878961306644</c:v>
                </c:pt>
                <c:pt idx="911">
                  <c:v>764.67878961306644</c:v>
                </c:pt>
                <c:pt idx="912">
                  <c:v>764.67878961306644</c:v>
                </c:pt>
                <c:pt idx="913">
                  <c:v>764.67878961306644</c:v>
                </c:pt>
                <c:pt idx="914">
                  <c:v>764.67878961306644</c:v>
                </c:pt>
                <c:pt idx="915">
                  <c:v>764.67878961306644</c:v>
                </c:pt>
                <c:pt idx="916">
                  <c:v>764.67878961306644</c:v>
                </c:pt>
                <c:pt idx="917">
                  <c:v>764.67878961306644</c:v>
                </c:pt>
                <c:pt idx="918">
                  <c:v>764.67878961306644</c:v>
                </c:pt>
                <c:pt idx="919">
                  <c:v>764.67878961306644</c:v>
                </c:pt>
                <c:pt idx="920">
                  <c:v>764.67878961306644</c:v>
                </c:pt>
                <c:pt idx="921">
                  <c:v>764.67878961306644</c:v>
                </c:pt>
                <c:pt idx="922">
                  <c:v>764.67878961306644</c:v>
                </c:pt>
                <c:pt idx="923">
                  <c:v>764.67878961306644</c:v>
                </c:pt>
                <c:pt idx="924">
                  <c:v>764.67878961306644</c:v>
                </c:pt>
                <c:pt idx="925">
                  <c:v>764.67878961306644</c:v>
                </c:pt>
                <c:pt idx="926">
                  <c:v>764.67878961306644</c:v>
                </c:pt>
                <c:pt idx="927">
                  <c:v>764.67878961306644</c:v>
                </c:pt>
                <c:pt idx="928">
                  <c:v>764.67878961306644</c:v>
                </c:pt>
                <c:pt idx="929">
                  <c:v>764.67878961306644</c:v>
                </c:pt>
                <c:pt idx="930">
                  <c:v>764.67878961306644</c:v>
                </c:pt>
                <c:pt idx="931">
                  <c:v>764.67878961306644</c:v>
                </c:pt>
                <c:pt idx="932">
                  <c:v>764.67878961306644</c:v>
                </c:pt>
                <c:pt idx="933">
                  <c:v>764.67878961306644</c:v>
                </c:pt>
                <c:pt idx="934">
                  <c:v>764.67878961306644</c:v>
                </c:pt>
                <c:pt idx="935">
                  <c:v>764.67878961306644</c:v>
                </c:pt>
                <c:pt idx="936">
                  <c:v>764.67878961306644</c:v>
                </c:pt>
                <c:pt idx="937">
                  <c:v>764.67878961306644</c:v>
                </c:pt>
                <c:pt idx="938">
                  <c:v>764.67878961306644</c:v>
                </c:pt>
                <c:pt idx="939">
                  <c:v>764.67878961306644</c:v>
                </c:pt>
                <c:pt idx="940">
                  <c:v>764.67878961306644</c:v>
                </c:pt>
                <c:pt idx="941">
                  <c:v>764.67878961306644</c:v>
                </c:pt>
                <c:pt idx="942">
                  <c:v>764.67878961306644</c:v>
                </c:pt>
                <c:pt idx="943">
                  <c:v>764.67878961306644</c:v>
                </c:pt>
                <c:pt idx="944">
                  <c:v>764.67878961306644</c:v>
                </c:pt>
                <c:pt idx="945">
                  <c:v>764.67878961306644</c:v>
                </c:pt>
                <c:pt idx="946">
                  <c:v>764.67878961306644</c:v>
                </c:pt>
                <c:pt idx="947">
                  <c:v>764.67878961306644</c:v>
                </c:pt>
                <c:pt idx="948">
                  <c:v>764.67878961306644</c:v>
                </c:pt>
                <c:pt idx="949">
                  <c:v>764.67878961306644</c:v>
                </c:pt>
                <c:pt idx="950">
                  <c:v>764.67878961306644</c:v>
                </c:pt>
                <c:pt idx="951">
                  <c:v>764.67878961306644</c:v>
                </c:pt>
                <c:pt idx="952">
                  <c:v>764.67878961306644</c:v>
                </c:pt>
                <c:pt idx="953">
                  <c:v>764.67878961306644</c:v>
                </c:pt>
                <c:pt idx="954">
                  <c:v>764.67878961306644</c:v>
                </c:pt>
                <c:pt idx="955">
                  <c:v>764.67878961306644</c:v>
                </c:pt>
                <c:pt idx="956">
                  <c:v>764.67878961306644</c:v>
                </c:pt>
                <c:pt idx="957">
                  <c:v>764.67878961306644</c:v>
                </c:pt>
                <c:pt idx="958">
                  <c:v>764.67878961306644</c:v>
                </c:pt>
                <c:pt idx="959">
                  <c:v>764.67878961306644</c:v>
                </c:pt>
                <c:pt idx="960">
                  <c:v>764.67878961306644</c:v>
                </c:pt>
                <c:pt idx="961">
                  <c:v>764.67878961306644</c:v>
                </c:pt>
                <c:pt idx="962">
                  <c:v>764.67878961306644</c:v>
                </c:pt>
                <c:pt idx="963">
                  <c:v>764.67878961306644</c:v>
                </c:pt>
                <c:pt idx="964">
                  <c:v>764.67878961306644</c:v>
                </c:pt>
                <c:pt idx="965">
                  <c:v>764.67878961306644</c:v>
                </c:pt>
                <c:pt idx="966">
                  <c:v>764.67878961306644</c:v>
                </c:pt>
                <c:pt idx="967">
                  <c:v>764.67878961306644</c:v>
                </c:pt>
                <c:pt idx="968">
                  <c:v>764.67878961306644</c:v>
                </c:pt>
                <c:pt idx="969">
                  <c:v>764.67878961306644</c:v>
                </c:pt>
                <c:pt idx="970">
                  <c:v>764.67878961306644</c:v>
                </c:pt>
                <c:pt idx="971">
                  <c:v>764.67878961306644</c:v>
                </c:pt>
                <c:pt idx="972">
                  <c:v>764.67878961306644</c:v>
                </c:pt>
                <c:pt idx="973">
                  <c:v>764.67878961306644</c:v>
                </c:pt>
                <c:pt idx="974">
                  <c:v>764.67878961306644</c:v>
                </c:pt>
                <c:pt idx="975">
                  <c:v>764.67878961306644</c:v>
                </c:pt>
                <c:pt idx="976">
                  <c:v>764.67878961306644</c:v>
                </c:pt>
                <c:pt idx="977">
                  <c:v>764.67878961306644</c:v>
                </c:pt>
                <c:pt idx="978">
                  <c:v>764.67878961306644</c:v>
                </c:pt>
                <c:pt idx="979">
                  <c:v>764.67878961306644</c:v>
                </c:pt>
                <c:pt idx="980">
                  <c:v>764.67878961306644</c:v>
                </c:pt>
                <c:pt idx="981">
                  <c:v>764.67878961306644</c:v>
                </c:pt>
                <c:pt idx="982">
                  <c:v>764.67878961306644</c:v>
                </c:pt>
                <c:pt idx="983">
                  <c:v>764.67878961306644</c:v>
                </c:pt>
                <c:pt idx="984">
                  <c:v>764.67878961306644</c:v>
                </c:pt>
                <c:pt idx="985">
                  <c:v>764.67878961306644</c:v>
                </c:pt>
                <c:pt idx="986">
                  <c:v>764.67878961306644</c:v>
                </c:pt>
                <c:pt idx="987">
                  <c:v>764.67878961306644</c:v>
                </c:pt>
                <c:pt idx="988">
                  <c:v>764.67878961306644</c:v>
                </c:pt>
                <c:pt idx="989">
                  <c:v>764.67878961306644</c:v>
                </c:pt>
                <c:pt idx="990">
                  <c:v>764.67878961306644</c:v>
                </c:pt>
                <c:pt idx="991">
                  <c:v>764.67878961306644</c:v>
                </c:pt>
                <c:pt idx="992">
                  <c:v>764.67878961306644</c:v>
                </c:pt>
                <c:pt idx="993">
                  <c:v>764.67878961306644</c:v>
                </c:pt>
                <c:pt idx="994">
                  <c:v>764.67878961306644</c:v>
                </c:pt>
                <c:pt idx="995">
                  <c:v>764.67878961306644</c:v>
                </c:pt>
                <c:pt idx="996">
                  <c:v>764.67878961306644</c:v>
                </c:pt>
                <c:pt idx="997">
                  <c:v>764.67878961306644</c:v>
                </c:pt>
                <c:pt idx="998">
                  <c:v>764.67878961306644</c:v>
                </c:pt>
                <c:pt idx="999">
                  <c:v>764.67878961306644</c:v>
                </c:pt>
                <c:pt idx="1000">
                  <c:v>764.67878961306644</c:v>
                </c:pt>
              </c:numCache>
            </c:numRef>
          </c:xVal>
          <c:yVal>
            <c:numRef>
              <c:f>Calculs!$K$4:$K$1004</c:f>
              <c:numCache>
                <c:formatCode>0.00</c:formatCode>
                <c:ptCount val="1001"/>
                <c:pt idx="0">
                  <c:v>0</c:v>
                </c:pt>
                <c:pt idx="1">
                  <c:v>7.9588567858292995E-4</c:v>
                </c:pt>
                <c:pt idx="2">
                  <c:v>6.723482670051845E-3</c:v>
                </c:pt>
                <c:pt idx="3">
                  <c:v>2.3479711239899365E-2</c:v>
                </c:pt>
                <c:pt idx="4">
                  <c:v>5.2995906566015188E-2</c:v>
                </c:pt>
                <c:pt idx="5">
                  <c:v>9.4820262845367348E-2</c:v>
                </c:pt>
                <c:pt idx="6">
                  <c:v>0.14863784731109492</c:v>
                </c:pt>
                <c:pt idx="7">
                  <c:v>0.21440886054895564</c:v>
                </c:pt>
                <c:pt idx="8">
                  <c:v>0.29223128024106937</c:v>
                </c:pt>
                <c:pt idx="9">
                  <c:v>0.3822031479999124</c:v>
                </c:pt>
                <c:pt idx="10">
                  <c:v>0.48442256793887617</c:v>
                </c:pt>
                <c:pt idx="11">
                  <c:v>0.59897339643303338</c:v>
                </c:pt>
                <c:pt idx="12">
                  <c:v>0.72591089482237248</c:v>
                </c:pt>
                <c:pt idx="13">
                  <c:v>0.86527598194740496</c:v>
                </c:pt>
                <c:pt idx="14">
                  <c:v>1.0171095238995609</c:v>
                </c:pt>
                <c:pt idx="15">
                  <c:v>1.1814523328906639</c:v>
                </c:pt>
                <c:pt idx="16">
                  <c:v>1.3583451661181094</c:v>
                </c:pt>
                <c:pt idx="17">
                  <c:v>1.5478287246258078</c:v>
                </c:pt>
                <c:pt idx="18">
                  <c:v>1.7499436521609577</c:v>
                </c:pt>
                <c:pt idx="19">
                  <c:v>1.9647305340267165</c:v>
                </c:pt>
                <c:pt idx="20">
                  <c:v>2.1922298959308328</c:v>
                </c:pt>
                <c:pt idx="21">
                  <c:v>2.4324764613328229</c:v>
                </c:pt>
                <c:pt idx="22">
                  <c:v>2.6854933941468113</c:v>
                </c:pt>
                <c:pt idx="23">
                  <c:v>2.9512980178484214</c:v>
                </c:pt>
                <c:pt idx="24">
                  <c:v>3.2299075494554561</c:v>
                </c:pt>
                <c:pt idx="25">
                  <c:v>3.5213390988348241</c:v>
                </c:pt>
                <c:pt idx="26">
                  <c:v>3.8256096680122686</c:v>
                </c:pt>
                <c:pt idx="27">
                  <c:v>4.1427361504849607</c:v>
                </c:pt>
                <c:pt idx="28">
                  <c:v>4.4727205299112907</c:v>
                </c:pt>
                <c:pt idx="29">
                  <c:v>4.8155640809976488</c:v>
                </c:pt>
                <c:pt idx="30">
                  <c:v>5.1712821766383108</c:v>
                </c:pt>
                <c:pt idx="31">
                  <c:v>5.5398901022790819</c:v>
                </c:pt>
                <c:pt idx="32">
                  <c:v>5.9214030636097714</c:v>
                </c:pt>
                <c:pt idx="33">
                  <c:v>6.31583618389429</c:v>
                </c:pt>
                <c:pt idx="34">
                  <c:v>6.7232045014900033</c:v>
                </c:pt>
                <c:pt idx="35">
                  <c:v>7.1435229675339738</c:v>
                </c:pt>
                <c:pt idx="36">
                  <c:v>7.5768064437770102</c:v>
                </c:pt>
                <c:pt idx="37">
                  <c:v>8.0230697005491916</c:v>
                </c:pt>
                <c:pt idx="38">
                  <c:v>8.4823274148428052</c:v>
                </c:pt>
                <c:pt idx="39">
                  <c:v>8.9545941685005399</c:v>
                </c:pt>
                <c:pt idx="40">
                  <c:v>9.4398844464983878</c:v>
                </c:pt>
                <c:pt idx="41">
                  <c:v>9.938208170198962</c:v>
                </c:pt>
                <c:pt idx="42">
                  <c:v>10.449566220794946</c:v>
                </c:pt>
                <c:pt idx="43">
                  <c:v>10.973954889047857</c:v>
                </c:pt>
                <c:pt idx="44">
                  <c:v>11.511370335191106</c:v>
                </c:pt>
                <c:pt idx="45">
                  <c:v>12.061808587999941</c:v>
                </c:pt>
                <c:pt idx="46">
                  <c:v>12.625265543925277</c:v>
                </c:pt>
                <c:pt idx="47">
                  <c:v>13.20173696628637</c:v>
                </c:pt>
                <c:pt idx="48">
                  <c:v>13.79121848451787</c:v>
                </c:pt>
                <c:pt idx="49">
                  <c:v>14.393705593467239</c:v>
                </c:pt>
                <c:pt idx="50">
                  <c:v>15.009193652738984</c:v>
                </c:pt>
                <c:pt idx="51">
                  <c:v>15.637677886082503</c:v>
                </c:pt>
                <c:pt idx="52">
                  <c:v>16.279153380820645</c:v>
                </c:pt>
                <c:pt idx="53">
                  <c:v>16.933615087316426</c:v>
                </c:pt>
                <c:pt idx="54">
                  <c:v>17.601057818475532</c:v>
                </c:pt>
                <c:pt idx="55">
                  <c:v>18.28147624928253</c:v>
                </c:pt>
                <c:pt idx="56">
                  <c:v>18.97486491636883</c:v>
                </c:pt>
                <c:pt idx="57">
                  <c:v>19.681218217610695</c:v>
                </c:pt>
                <c:pt idx="58">
                  <c:v>20.400530411755685</c:v>
                </c:pt>
                <c:pt idx="59">
                  <c:v>21.132795618076113</c:v>
                </c:pt>
                <c:pt idx="60">
                  <c:v>21.878007816048164</c:v>
                </c:pt>
                <c:pt idx="61">
                  <c:v>22.636160845055535</c:v>
                </c:pt>
                <c:pt idx="62">
                  <c:v>23.407248404116402</c:v>
                </c:pt>
                <c:pt idx="63">
                  <c:v>24.191264051632764</c:v>
                </c:pt>
                <c:pt idx="64">
                  <c:v>24.988201205161229</c:v>
                </c:pt>
                <c:pt idx="65">
                  <c:v>25.798053141204328</c:v>
                </c:pt>
                <c:pt idx="66">
                  <c:v>26.620812995021634</c:v>
                </c:pt>
                <c:pt idx="67">
                  <c:v>27.456473760459918</c:v>
                </c:pt>
                <c:pt idx="68">
                  <c:v>28.305028289801662</c:v>
                </c:pt>
                <c:pt idx="69">
                  <c:v>29.166469293631312</c:v>
                </c:pt>
                <c:pt idx="70">
                  <c:v>30.040789340718703</c:v>
                </c:pt>
                <c:pt idx="71">
                  <c:v>30.927980857919081</c:v>
                </c:pt>
                <c:pt idx="72">
                  <c:v>31.828036130089266</c:v>
                </c:pt>
                <c:pt idx="73">
                  <c:v>32.740947300019428</c:v>
                </c:pt>
                <c:pt idx="74">
                  <c:v>33.666706368380119</c:v>
                </c:pt>
                <c:pt idx="75">
                  <c:v>34.605305193684053</c:v>
                </c:pt>
                <c:pt idx="76">
                  <c:v>35.556735492262376</c:v>
                </c:pt>
                <c:pt idx="77">
                  <c:v>36.520988838254929</c:v>
                </c:pt>
                <c:pt idx="78">
                  <c:v>37.498056663614292</c:v>
                </c:pt>
                <c:pt idx="79">
                  <c:v>38.487930258123235</c:v>
                </c:pt>
                <c:pt idx="80">
                  <c:v>39.490600769425271</c:v>
                </c:pt>
                <c:pt idx="81">
                  <c:v>40.506054671291871</c:v>
                </c:pt>
                <c:pt idx="82">
                  <c:v>41.534269223564927</c:v>
                </c:pt>
                <c:pt idx="83">
                  <c:v>42.575216993653761</c:v>
                </c:pt>
                <c:pt idx="84">
                  <c:v>43.628870386697834</c:v>
                </c:pt>
                <c:pt idx="85">
                  <c:v>44.69520164629246</c:v>
                </c:pt>
                <c:pt idx="86">
                  <c:v>45.774182855228148</c:v>
                </c:pt>
                <c:pt idx="87">
                  <c:v>46.865785936243235</c:v>
                </c:pt>
                <c:pt idx="88">
                  <c:v>47.969982652789454</c:v>
                </c:pt>
                <c:pt idx="89">
                  <c:v>49.086744609810168</c:v>
                </c:pt>
                <c:pt idx="90">
                  <c:v>50.216043254530938</c:v>
                </c:pt>
                <c:pt idx="91">
                  <c:v>51.357847874866614</c:v>
                </c:pt>
                <c:pt idx="92">
                  <c:v>52.512123594452866</c:v>
                </c:pt>
                <c:pt idx="93">
                  <c:v>53.678833371876017</c:v>
                </c:pt>
                <c:pt idx="94">
                  <c:v>54.857940003457699</c:v>
                </c:pt>
                <c:pt idx="95">
                  <c:v>56.049406124415476</c:v>
                </c:pt>
                <c:pt idx="96">
                  <c:v>57.253194210034358</c:v>
                </c:pt>
                <c:pt idx="97">
                  <c:v>58.46926657684886</c:v>
                </c:pt>
                <c:pt idx="98">
                  <c:v>59.697585383835332</c:v>
                </c:pt>
                <c:pt idx="99">
                  <c:v>60.938112633614253</c:v>
                </c:pt>
                <c:pt idx="100">
                  <c:v>62.190810173662278</c:v>
                </c:pt>
                <c:pt idx="101">
                  <c:v>63.455639377226447</c:v>
                </c:pt>
                <c:pt idx="102">
                  <c:v>64.732560823757723</c:v>
                </c:pt>
                <c:pt idx="103">
                  <c:v>66.02153461991719</c:v>
                </c:pt>
                <c:pt idx="104">
                  <c:v>67.322520721106642</c:v>
                </c:pt>
                <c:pt idx="105">
                  <c:v>68.635478932776749</c:v>
                </c:pt>
                <c:pt idx="106">
                  <c:v>69.960368911743316</c:v>
                </c:pt>
                <c:pt idx="107">
                  <c:v>71.297150167511461</c:v>
                </c:pt>
                <c:pt idx="108">
                  <c:v>72.6457820636073</c:v>
                </c:pt>
                <c:pt idx="109">
                  <c:v>74.006223818917107</c:v>
                </c:pt>
                <c:pt idx="110">
                  <c:v>75.378434509033582</c:v>
                </c:pt>
                <c:pt idx="111">
                  <c:v>76.762376755823098</c:v>
                </c:pt>
                <c:pt idx="112">
                  <c:v>78.158020422049944</c:v>
                </c:pt>
                <c:pt idx="113">
                  <c:v>79.56533892965804</c:v>
                </c:pt>
                <c:pt idx="114">
                  <c:v>80.984305572728815</c:v>
                </c:pt>
                <c:pt idx="115">
                  <c:v>82.414893518300389</c:v>
                </c:pt>
                <c:pt idx="116">
                  <c:v>83.85707580719334</c:v>
                </c:pt>
                <c:pt idx="117">
                  <c:v>85.310825354843004</c:v>
                </c:pt>
                <c:pt idx="118">
                  <c:v>86.776114952138201</c:v>
                </c:pt>
                <c:pt idx="119">
                  <c:v>88.252917266266223</c:v>
                </c:pt>
                <c:pt idx="120">
                  <c:v>89.741204841563871</c:v>
                </c:pt>
                <c:pt idx="121">
                  <c:v>91.24094398246018</c:v>
                </c:pt>
                <c:pt idx="122">
                  <c:v>92.752088628881836</c:v>
                </c:pt>
                <c:pt idx="123">
                  <c:v>94.274586468149366</c:v>
                </c:pt>
                <c:pt idx="124">
                  <c:v>95.808385054901692</c:v>
                </c:pt>
                <c:pt idx="125">
                  <c:v>97.353431812934318</c:v>
                </c:pt>
                <c:pt idx="126">
                  <c:v>98.90967403704019</c:v>
                </c:pt>
                <c:pt idx="127">
                  <c:v>100.47705889485302</c:v>
                </c:pt>
                <c:pt idx="128">
                  <c:v>102.05553342869275</c:v>
                </c:pt>
                <c:pt idx="129">
                  <c:v>103.6450445574131</c:v>
                </c:pt>
                <c:pt idx="130">
                  <c:v>105.2455390782506</c:v>
                </c:pt>
                <c:pt idx="131">
                  <c:v>106.85696206683457</c:v>
                </c:pt>
                <c:pt idx="132">
                  <c:v>108.47925527552694</c:v>
                </c:pt>
                <c:pt idx="133">
                  <c:v>110.11235873586841</c:v>
                </c:pt>
                <c:pt idx="134">
                  <c:v>111.75621236283401</c:v>
                </c:pt>
                <c:pt idx="135">
                  <c:v>113.41075595696113</c:v>
                </c:pt>
                <c:pt idx="136">
                  <c:v>115.07592920647645</c:v>
                </c:pt>
                <c:pt idx="137">
                  <c:v>116.7516716894214</c:v>
                </c:pt>
                <c:pt idx="138">
                  <c:v>118.43792287577593</c:v>
                </c:pt>
                <c:pt idx="139">
                  <c:v>120.13462212958029</c:v>
                </c:pt>
                <c:pt idx="140">
                  <c:v>121.84170871105466</c:v>
                </c:pt>
                <c:pt idx="141">
                  <c:v>123.55910262424158</c:v>
                </c:pt>
                <c:pt idx="142">
                  <c:v>125.2866854487269</c:v>
                </c:pt>
                <c:pt idx="143">
                  <c:v>127.02431948877086</c:v>
                </c:pt>
                <c:pt idx="144">
                  <c:v>128.77186694042001</c:v>
                </c:pt>
                <c:pt idx="145">
                  <c:v>130.52918989772519</c:v>
                </c:pt>
                <c:pt idx="146">
                  <c:v>132.29615035892041</c:v>
                </c:pt>
                <c:pt idx="147">
                  <c:v>134.07261023256203</c:v>
                </c:pt>
                <c:pt idx="148">
                  <c:v>135.85843134362693</c:v>
                </c:pt>
                <c:pt idx="149">
                  <c:v>137.65347543956926</c:v>
                </c:pt>
                <c:pt idx="150">
                  <c:v>139.45760419633461</c:v>
                </c:pt>
                <c:pt idx="151">
                  <c:v>141.27067922433088</c:v>
                </c:pt>
                <c:pt idx="152">
                  <c:v>143.09256207435516</c:v>
                </c:pt>
                <c:pt idx="153">
                  <c:v>144.92311424347562</c:v>
                </c:pt>
                <c:pt idx="154">
                  <c:v>146.7621971808679</c:v>
                </c:pt>
                <c:pt idx="155">
                  <c:v>148.609672293605</c:v>
                </c:pt>
                <c:pt idx="156">
                  <c:v>150.46531023282532</c:v>
                </c:pt>
                <c:pt idx="157">
                  <c:v>152.32870015962811</c:v>
                </c:pt>
                <c:pt idx="158">
                  <c:v>154.19934053211031</c:v>
                </c:pt>
                <c:pt idx="159">
                  <c:v>156.07672993311658</c:v>
                </c:pt>
                <c:pt idx="160">
                  <c:v>157.96036711654375</c:v>
                </c:pt>
                <c:pt idx="161">
                  <c:v>159.84963571845012</c:v>
                </c:pt>
                <c:pt idx="162">
                  <c:v>161.7436890236242</c:v>
                </c:pt>
                <c:pt idx="163">
                  <c:v>163.64157656115606</c:v>
                </c:pt>
                <c:pt idx="164">
                  <c:v>165.54237068465417</c:v>
                </c:pt>
                <c:pt idx="165">
                  <c:v>167.44526586288265</c:v>
                </c:pt>
                <c:pt idx="166">
                  <c:v>169.34967783643003</c:v>
                </c:pt>
                <c:pt idx="167">
                  <c:v>171.25504948739027</c:v>
                </c:pt>
                <c:pt idx="168">
                  <c:v>173.16071751107907</c:v>
                </c:pt>
                <c:pt idx="169">
                  <c:v>175.06582340779886</c:v>
                </c:pt>
                <c:pt idx="170">
                  <c:v>176.96928528637369</c:v>
                </c:pt>
                <c:pt idx="171">
                  <c:v>178.87034592471116</c:v>
                </c:pt>
                <c:pt idx="172">
                  <c:v>180.76881683826667</c:v>
                </c:pt>
                <c:pt idx="173">
                  <c:v>182.66470267874479</c:v>
                </c:pt>
                <c:pt idx="174">
                  <c:v>184.55800808201212</c:v>
                </c:pt>
                <c:pt idx="175">
                  <c:v>186.44873766816829</c:v>
                </c:pt>
                <c:pt idx="176">
                  <c:v>188.33689604161651</c:v>
                </c:pt>
                <c:pt idx="177">
                  <c:v>190.22248779113377</c:v>
                </c:pt>
                <c:pt idx="178">
                  <c:v>192.10551748994061</c:v>
                </c:pt>
                <c:pt idx="179">
                  <c:v>193.98598969577048</c:v>
                </c:pt>
                <c:pt idx="180">
                  <c:v>195.86390895093882</c:v>
                </c:pt>
                <c:pt idx="181">
                  <c:v>197.73927978241153</c:v>
                </c:pt>
                <c:pt idx="182">
                  <c:v>199.61210670187336</c:v>
                </c:pt>
                <c:pt idx="183">
                  <c:v>201.4823942057956</c:v>
                </c:pt>
                <c:pt idx="184">
                  <c:v>203.35014677550359</c:v>
                </c:pt>
                <c:pt idx="185">
                  <c:v>205.2153688772438</c:v>
                </c:pt>
                <c:pt idx="186">
                  <c:v>207.07806496225055</c:v>
                </c:pt>
                <c:pt idx="187">
                  <c:v>208.93823946681229</c:v>
                </c:pt>
                <c:pt idx="188">
                  <c:v>210.79589681233759</c:v>
                </c:pt>
                <c:pt idx="189">
                  <c:v>212.65104140542067</c:v>
                </c:pt>
                <c:pt idx="190">
                  <c:v>214.50367763790672</c:v>
                </c:pt>
                <c:pt idx="191">
                  <c:v>216.35380988695664</c:v>
                </c:pt>
                <c:pt idx="192">
                  <c:v>218.20144251511167</c:v>
                </c:pt>
                <c:pt idx="193">
                  <c:v>220.04657987035739</c:v>
                </c:pt>
                <c:pt idx="194">
                  <c:v>221.88922628618761</c:v>
                </c:pt>
                <c:pt idx="195">
                  <c:v>223.72938608166768</c:v>
                </c:pt>
                <c:pt idx="196">
                  <c:v>225.56706356149772</c:v>
                </c:pt>
                <c:pt idx="197">
                  <c:v>227.40226301607521</c:v>
                </c:pt>
                <c:pt idx="198">
                  <c:v>229.23498872155744</c:v>
                </c:pt>
                <c:pt idx="199">
                  <c:v>231.06524493992353</c:v>
                </c:pt>
                <c:pt idx="200">
                  <c:v>232.89303591903609</c:v>
                </c:pt>
                <c:pt idx="201">
                  <c:v>251.03568551352203</c:v>
                </c:pt>
                <c:pt idx="202">
                  <c:v>268.93453630754851</c:v>
                </c:pt>
                <c:pt idx="203">
                  <c:v>286.59370106166131</c:v>
                </c:pt>
                <c:pt idx="204">
                  <c:v>304.01715932046432</c:v>
                </c:pt>
                <c:pt idx="205">
                  <c:v>321.20876302032707</c:v>
                </c:pt>
                <c:pt idx="206">
                  <c:v>338.1722418002347</c:v>
                </c:pt>
                <c:pt idx="207">
                  <c:v>354.91120803451514</c:v>
                </c:pt>
                <c:pt idx="208">
                  <c:v>371.42916160480758</c:v>
                </c:pt>
                <c:pt idx="209">
                  <c:v>387.72949442737774</c:v>
                </c:pt>
                <c:pt idx="210">
                  <c:v>403.81549475073143</c:v>
                </c:pt>
                <c:pt idx="211">
                  <c:v>419.69035123741787</c:v>
                </c:pt>
                <c:pt idx="212">
                  <c:v>435.35715684293831</c:v>
                </c:pt>
                <c:pt idx="213">
                  <c:v>450.81891250377925</c:v>
                </c:pt>
                <c:pt idx="214">
                  <c:v>466.07853064576176</c:v>
                </c:pt>
                <c:pt idx="215">
                  <c:v>481.13883852313722</c:v>
                </c:pt>
                <c:pt idx="216">
                  <c:v>496.00258139815611</c:v>
                </c:pt>
                <c:pt idx="217">
                  <c:v>510.67242557018722</c:v>
                </c:pt>
                <c:pt idx="218">
                  <c:v>525.15096126286517</c:v>
                </c:pt>
                <c:pt idx="219">
                  <c:v>539.44070537718778</c:v>
                </c:pt>
                <c:pt idx="220">
                  <c:v>553.54410411797232</c:v>
                </c:pt>
                <c:pt idx="221">
                  <c:v>567.46353550060269</c:v>
                </c:pt>
                <c:pt idx="222">
                  <c:v>581.20131174455946</c:v>
                </c:pt>
                <c:pt idx="223">
                  <c:v>594.75968155981388</c:v>
                </c:pt>
                <c:pt idx="224">
                  <c:v>608.14083233178872</c:v>
                </c:pt>
                <c:pt idx="225">
                  <c:v>621.34689221023393</c:v>
                </c:pt>
                <c:pt idx="226">
                  <c:v>634.3799321070386</c:v>
                </c:pt>
                <c:pt idx="227">
                  <c:v>647.24196760769382</c:v>
                </c:pt>
                <c:pt idx="228">
                  <c:v>659.9349608008381</c:v>
                </c:pt>
                <c:pt idx="229">
                  <c:v>672.46082203005176</c:v>
                </c:pt>
                <c:pt idx="230">
                  <c:v>684.821411571819</c:v>
                </c:pt>
                <c:pt idx="231">
                  <c:v>697.01854124334807</c:v>
                </c:pt>
                <c:pt idx="232">
                  <c:v>709.05397594372312</c:v>
                </c:pt>
                <c:pt idx="233">
                  <c:v>720.92943513166256</c:v>
                </c:pt>
                <c:pt idx="234">
                  <c:v>732.64659424296929</c:v>
                </c:pt>
                <c:pt idx="235">
                  <c:v>744.20708605058508</c:v>
                </c:pt>
                <c:pt idx="236">
                  <c:v>755.61250196999583</c:v>
                </c:pt>
                <c:pt idx="237">
                  <c:v>766.86439331258123</c:v>
                </c:pt>
                <c:pt idx="238">
                  <c:v>777.9642724893597</c:v>
                </c:pt>
                <c:pt idx="239">
                  <c:v>788.91361416744326</c:v>
                </c:pt>
                <c:pt idx="240">
                  <c:v>799.71385638139236</c:v>
                </c:pt>
                <c:pt idx="241">
                  <c:v>810.36640160154025</c:v>
                </c:pt>
                <c:pt idx="242">
                  <c:v>820.87261776124831</c:v>
                </c:pt>
                <c:pt idx="243">
                  <c:v>831.23383924494556</c:v>
                </c:pt>
                <c:pt idx="244">
                  <c:v>841.45136783871135</c:v>
                </c:pt>
                <c:pt idx="245">
                  <c:v>851.52647364506561</c:v>
                </c:pt>
                <c:pt idx="246">
                  <c:v>861.46039596354501</c:v>
                </c:pt>
                <c:pt idx="247">
                  <c:v>871.2543441385626</c:v>
                </c:pt>
                <c:pt idx="248">
                  <c:v>880.90949837597054</c:v>
                </c:pt>
                <c:pt idx="249">
                  <c:v>890.42701052967459</c:v>
                </c:pt>
                <c:pt idx="250">
                  <c:v>899.80800485958002</c:v>
                </c:pt>
                <c:pt idx="251">
                  <c:v>909.05357876208473</c:v>
                </c:pt>
                <c:pt idx="252">
                  <c:v>918.16480347427557</c:v>
                </c:pt>
                <c:pt idx="253">
                  <c:v>927.14272475292569</c:v>
                </c:pt>
                <c:pt idx="254">
                  <c:v>935.98836352933756</c:v>
                </c:pt>
                <c:pt idx="255">
                  <c:v>944.70271654102601</c:v>
                </c:pt>
                <c:pt idx="256">
                  <c:v>953.28675694118658</c:v>
                </c:pt>
                <c:pt idx="257">
                  <c:v>961.74143488685024</c:v>
                </c:pt>
                <c:pt idx="258">
                  <c:v>970.06767810658221</c:v>
                </c:pt>
                <c:pt idx="259">
                  <c:v>978.26639244854175</c:v>
                </c:pt>
                <c:pt idx="260">
                  <c:v>986.33846240968307</c:v>
                </c:pt>
                <c:pt idx="261">
                  <c:v>994.28475164683925</c:v>
                </c:pt>
                <c:pt idx="262">
                  <c:v>1002.1061034703989</c:v>
                </c:pt>
                <c:pt idx="263">
                  <c:v>1009.8033413212518</c:v>
                </c:pt>
                <c:pt idx="264">
                  <c:v>1017.3772692316491</c:v>
                </c:pt>
                <c:pt idx="265">
                  <c:v>1024.8286722705955</c:v>
                </c:pt>
                <c:pt idx="266">
                  <c:v>1032.1583169743626</c:v>
                </c:pt>
                <c:pt idx="267">
                  <c:v>1039.3669517626879</c:v>
                </c:pt>
                <c:pt idx="268">
                  <c:v>1046.4553073411971</c:v>
                </c:pt>
                <c:pt idx="269">
                  <c:v>1053.4240970905671</c:v>
                </c:pt>
                <c:pt idx="270">
                  <c:v>1060.2740174429241</c:v>
                </c:pt>
                <c:pt idx="271">
                  <c:v>1067.0057482459481</c:v>
                </c:pt>
                <c:pt idx="272">
                  <c:v>1073.6199531151399</c:v>
                </c:pt>
                <c:pt idx="273">
                  <c:v>1080.1172797746847</c:v>
                </c:pt>
                <c:pt idx="274">
                  <c:v>1086.4983603873304</c:v>
                </c:pt>
                <c:pt idx="275">
                  <c:v>1092.7638118736825</c:v>
                </c:pt>
                <c:pt idx="276">
                  <c:v>1098.9142362213017</c:v>
                </c:pt>
                <c:pt idx="277">
                  <c:v>1104.9502207839757</c:v>
                </c:pt>
                <c:pt idx="278">
                  <c:v>1110.872338571523</c:v>
                </c:pt>
                <c:pt idx="279">
                  <c:v>1116.6811485304743</c:v>
                </c:pt>
                <c:pt idx="280">
                  <c:v>1122.3771958159673</c:v>
                </c:pt>
                <c:pt idx="281">
                  <c:v>1127.9610120551733</c:v>
                </c:pt>
                <c:pt idx="282">
                  <c:v>1133.433115602573</c:v>
                </c:pt>
                <c:pt idx="283">
                  <c:v>1138.7940117873825</c:v>
                </c:pt>
                <c:pt idx="284">
                  <c:v>1144.0441931534258</c:v>
                </c:pt>
                <c:pt idx="285">
                  <c:v>1149.1841396917414</c:v>
                </c:pt>
                <c:pt idx="286">
                  <c:v>1154.2143190662048</c:v>
                </c:pt>
                <c:pt idx="287">
                  <c:v>1159.135186832443</c:v>
                </c:pt>
                <c:pt idx="288">
                  <c:v>1163.9471866503125</c:v>
                </c:pt>
                <c:pt idx="289">
                  <c:v>1168.6507504902074</c:v>
                </c:pt>
                <c:pt idx="290">
                  <c:v>1173.2462988334648</c:v>
                </c:pt>
                <c:pt idx="291">
                  <c:v>1177.7342408671295</c:v>
                </c:pt>
                <c:pt idx="292">
                  <c:v>1182.1149746733431</c:v>
                </c:pt>
                <c:pt idx="293">
                  <c:v>1186.3888874136219</c:v>
                </c:pt>
                <c:pt idx="294">
                  <c:v>1190.5563555082904</c:v>
                </c:pt>
                <c:pt idx="295">
                  <c:v>1194.6177448113428</c:v>
                </c:pt>
                <c:pt idx="296">
                  <c:v>1198.5734107810081</c:v>
                </c:pt>
                <c:pt idx="297">
                  <c:v>1202.4236986463043</c:v>
                </c:pt>
                <c:pt idx="298">
                  <c:v>1206.1689435698759</c:v>
                </c:pt>
                <c:pt idx="299">
                  <c:v>1209.8094708074188</c:v>
                </c:pt>
                <c:pt idx="300">
                  <c:v>1213.3455958640129</c:v>
                </c:pt>
                <c:pt idx="301">
                  <c:v>1216.7776246476992</c:v>
                </c:pt>
                <c:pt idx="302">
                  <c:v>1220.1058536206554</c:v>
                </c:pt>
                <c:pt idx="303">
                  <c:v>1223.330569948349</c:v>
                </c:pt>
                <c:pt idx="304">
                  <c:v>1226.4520516470727</c:v>
                </c:pt>
                <c:pt idx="305">
                  <c:v>1229.4705677302945</c:v>
                </c:pt>
                <c:pt idx="306">
                  <c:v>1232.3863783542913</c:v>
                </c:pt>
                <c:pt idx="307">
                  <c:v>1235.1997349635717</c:v>
                </c:pt>
                <c:pt idx="308">
                  <c:v>1237.9108804366369</c:v>
                </c:pt>
                <c:pt idx="309">
                  <c:v>1240.5200492326746</c:v>
                </c:pt>
                <c:pt idx="310">
                  <c:v>1243.0274675398355</c:v>
                </c:pt>
                <c:pt idx="311">
                  <c:v>1245.4333534257978</c:v>
                </c:pt>
                <c:pt idx="312">
                  <c:v>1247.7379169913879</c:v>
                </c:pt>
                <c:pt idx="313">
                  <c:v>1249.9413605280918</c:v>
                </c:pt>
                <c:pt idx="314">
                  <c:v>1252.0438786803609</c:v>
                </c:pt>
                <c:pt idx="315">
                  <c:v>1254.0456586136913</c:v>
                </c:pt>
                <c:pt idx="316">
                  <c:v>1255.9468801895273</c:v>
                </c:pt>
                <c:pt idx="317">
                  <c:v>1257.7477161481102</c:v>
                </c:pt>
                <c:pt idx="318">
                  <c:v>1259.448332300469</c:v>
                </c:pt>
                <c:pt idx="319">
                  <c:v>1261.0488877308003</c:v>
                </c:pt>
                <c:pt idx="320">
                  <c:v>1262.549535010538</c:v>
                </c:pt>
                <c:pt idx="321">
                  <c:v>1263.9504204254413</c:v>
                </c:pt>
                <c:pt idx="322">
                  <c:v>1265.2516842170298</c:v>
                </c:pt>
                <c:pt idx="323">
                  <c:v>1266.4534608396687</c:v>
                </c:pt>
                <c:pt idx="324">
                  <c:v>1267.5558792345321</c:v>
                </c:pt>
                <c:pt idx="325">
                  <c:v>1268.5590631215575</c:v>
                </c:pt>
                <c:pt idx="326">
                  <c:v>1269.4631313103207</c:v>
                </c:pt>
                <c:pt idx="327">
                  <c:v>1270.2681980305276</c:v>
                </c:pt>
                <c:pt idx="328">
                  <c:v>1270.9743732825063</c:v>
                </c:pt>
                <c:pt idx="329">
                  <c:v>1271.581763207711</c:v>
                </c:pt>
                <c:pt idx="330">
                  <c:v>1272.0904704788122</c:v>
                </c:pt>
                <c:pt idx="331">
                  <c:v>1272.5005947084585</c:v>
                </c:pt>
                <c:pt idx="332">
                  <c:v>1272.8122328752654</c:v>
                </c:pt>
                <c:pt idx="333">
                  <c:v>1273.0254797650553</c:v>
                </c:pt>
                <c:pt idx="334">
                  <c:v>1273.1404284248381</c:v>
                </c:pt>
                <c:pt idx="335">
                  <c:v>1273.1571706265424</c:v>
                </c:pt>
                <c:pt idx="336">
                  <c:v>1273.0757973370996</c:v>
                </c:pt>
                <c:pt idx="337">
                  <c:v>1272.8963991911698</c:v>
                </c:pt>
                <c:pt idx="338">
                  <c:v>1272.6190669626224</c:v>
                </c:pt>
                <c:pt idx="339">
                  <c:v>1272.2438920308314</c:v>
                </c:pt>
                <c:pt idx="340">
                  <c:v>1271.7709668379459</c:v>
                </c:pt>
                <c:pt idx="341">
                  <c:v>1271.2003853335232</c:v>
                </c:pt>
                <c:pt idx="342">
                  <c:v>1270.5322434032605</c:v>
                </c:pt>
                <c:pt idx="343">
                  <c:v>1269.7666392790013</c:v>
                </c:pt>
                <c:pt idx="344">
                  <c:v>1268.903673927698</c:v>
                </c:pt>
                <c:pt idx="345">
                  <c:v>1267.9434514175471</c:v>
                </c:pt>
                <c:pt idx="346">
                  <c:v>1266.886079260056</c:v>
                </c:pt>
                <c:pt idx="347">
                  <c:v>1265.7316687273185</c:v>
                </c:pt>
                <c:pt idx="348">
                  <c:v>1264.4803351442451</c:v>
                </c:pt>
                <c:pt idx="349">
                  <c:v>1263.1321981559211</c:v>
                </c:pt>
                <c:pt idx="350">
                  <c:v>1261.6873819706043</c:v>
                </c:pt>
                <c:pt idx="351">
                  <c:v>1260.1460155791683</c:v>
                </c:pt>
                <c:pt idx="352">
                  <c:v>1258.5082329520012</c:v>
                </c:pt>
                <c:pt idx="353">
                  <c:v>1256.7741732145325</c:v>
                </c:pt>
                <c:pt idx="354">
                  <c:v>1254.9439808026507</c:v>
                </c:pt>
                <c:pt idx="355">
                  <c:v>1253.0178055993294</c:v>
                </c:pt>
                <c:pt idx="356">
                  <c:v>1250.9958030537898</c:v>
                </c:pt>
                <c:pt idx="357">
                  <c:v>1248.8781342845086</c:v>
                </c:pt>
                <c:pt idx="358">
                  <c:v>1246.6649661673403</c:v>
                </c:pt>
                <c:pt idx="359">
                  <c:v>1244.3564714099632</c:v>
                </c:pt>
                <c:pt idx="360">
                  <c:v>1241.9528286137918</c:v>
                </c:pt>
                <c:pt idx="361">
                  <c:v>1239.4542223244173</c:v>
                </c:pt>
                <c:pt idx="362">
                  <c:v>1236.860843071569</c:v>
                </c:pt>
                <c:pt idx="363">
                  <c:v>1234.1728873994991</c:v>
                </c:pt>
                <c:pt idx="364">
                  <c:v>1231.3905578886274</c:v>
                </c:pt>
                <c:pt idx="365">
                  <c:v>1228.5140631692004</c:v>
                </c:pt>
                <c:pt idx="366">
                  <c:v>1225.5436179276544</c:v>
                </c:pt>
                <c:pt idx="367">
                  <c:v>1222.479442906307</c:v>
                </c:pt>
                <c:pt idx="368">
                  <c:v>1219.3217648969378</c:v>
                </c:pt>
                <c:pt idx="369">
                  <c:v>1216.0708167287701</c:v>
                </c:pt>
                <c:pt idx="370">
                  <c:v>1212.7268372513095</c:v>
                </c:pt>
                <c:pt idx="371">
                  <c:v>1209.2900713124538</c:v>
                </c:pt>
                <c:pt idx="372">
                  <c:v>1205.7607697322471</c:v>
                </c:pt>
                <c:pt idx="373">
                  <c:v>1202.1391892726119</c:v>
                </c:pt>
                <c:pt idx="374">
                  <c:v>1198.4255926033647</c:v>
                </c:pt>
                <c:pt idx="375">
                  <c:v>1194.6202482647864</c:v>
                </c:pt>
                <c:pt idx="376">
                  <c:v>1190.7234306269947</c:v>
                </c:pt>
                <c:pt idx="377">
                  <c:v>1186.7354198463445</c:v>
                </c:pt>
                <c:pt idx="378">
                  <c:v>1182.6565018190565</c:v>
                </c:pt>
                <c:pt idx="379">
                  <c:v>1178.4869681322621</c:v>
                </c:pt>
                <c:pt idx="380">
                  <c:v>1174.2271160126279</c:v>
                </c:pt>
                <c:pt idx="381">
                  <c:v>1169.8772482727202</c:v>
                </c:pt>
                <c:pt idx="382">
                  <c:v>1165.437673255243</c:v>
                </c:pt>
                <c:pt idx="383">
                  <c:v>1160.9087047752851</c:v>
                </c:pt>
                <c:pt idx="384">
                  <c:v>1156.2906620606911</c:v>
                </c:pt>
                <c:pt idx="385">
                  <c:v>1151.5838696906696</c:v>
                </c:pt>
                <c:pt idx="386">
                  <c:v>1146.7886575327373</c:v>
                </c:pt>
                <c:pt idx="387">
                  <c:v>1141.9053606780967</c:v>
                </c:pt>
                <c:pt idx="388">
                  <c:v>1136.9343193755356</c:v>
                </c:pt>
                <c:pt idx="389">
                  <c:v>1131.8758789639296</c:v>
                </c:pt>
                <c:pt idx="390">
                  <c:v>1126.7303898034277</c:v>
                </c:pt>
                <c:pt idx="391">
                  <c:v>1121.4982072053917</c:v>
                </c:pt>
                <c:pt idx="392">
                  <c:v>1116.1796913611624</c:v>
                </c:pt>
                <c:pt idx="393">
                  <c:v>1110.7752072697147</c:v>
                </c:pt>
                <c:pt idx="394">
                  <c:v>1105.2851246642663</c:v>
                </c:pt>
                <c:pt idx="395">
                  <c:v>1099.7098179378997</c:v>
                </c:pt>
                <c:pt idx="396">
                  <c:v>1094.0496660682527</c:v>
                </c:pt>
                <c:pt idx="397">
                  <c:v>1088.3050525413341</c:v>
                </c:pt>
                <c:pt idx="398">
                  <c:v>1082.4763652745169</c:v>
                </c:pt>
                <c:pt idx="399">
                  <c:v>1076.5639965387579</c:v>
                </c:pt>
                <c:pt idx="400">
                  <c:v>1070.5683428800955</c:v>
                </c:pt>
                <c:pt idx="401">
                  <c:v>1064.4898050404704</c:v>
                </c:pt>
                <c:pt idx="402">
                  <c:v>1058.3287878779158</c:v>
                </c:pt>
                <c:pt idx="403">
                  <c:v>1052.085700286164</c:v>
                </c:pt>
                <c:pt idx="404">
                  <c:v>1045.760955113708</c:v>
                </c:pt>
                <c:pt idx="405">
                  <c:v>1039.3549690823656</c:v>
                </c:pt>
                <c:pt idx="406">
                  <c:v>1032.8681627053838</c:v>
                </c:pt>
                <c:pt idx="407">
                  <c:v>1026.3009602051234</c:v>
                </c:pt>
                <c:pt idx="408">
                  <c:v>1019.6537894303656</c:v>
                </c:pt>
                <c:pt idx="409">
                  <c:v>1012.9270817732776</c:v>
                </c:pt>
                <c:pt idx="410">
                  <c:v>1006.1212720860739</c:v>
                </c:pt>
                <c:pt idx="411">
                  <c:v>999.23679859741219</c:v>
                </c:pt>
                <c:pt idx="412">
                  <c:v>992.27410282855794</c:v>
                </c:pt>
                <c:pt idx="413">
                  <c:v>985.23362950935439</c:v>
                </c:pt>
                <c:pt idx="414">
                  <c:v>978.11582649403226</c:v>
                </c:pt>
                <c:pt idx="415">
                  <c:v>970.92114467689339</c:v>
                </c:pt>
                <c:pt idx="416">
                  <c:v>963.65003790790161</c:v>
                </c:pt>
                <c:pt idx="417">
                  <c:v>956.30296290821366</c:v>
                </c:pt>
                <c:pt idx="418">
                  <c:v>948.88037918568239</c:v>
                </c:pt>
                <c:pt idx="419">
                  <c:v>941.38274895036454</c:v>
                </c:pt>
                <c:pt idx="420">
                  <c:v>933.8105370300633</c:v>
                </c:pt>
                <c:pt idx="421">
                  <c:v>926.16421078593646</c:v>
                </c:pt>
                <c:pt idx="422">
                  <c:v>918.44424002820074</c:v>
                </c:pt>
                <c:pt idx="423">
                  <c:v>910.65109693196052</c:v>
                </c:pt>
                <c:pt idx="424">
                  <c:v>902.78525595319127</c:v>
                </c:pt>
                <c:pt idx="425">
                  <c:v>894.84719374490476</c:v>
                </c:pt>
                <c:pt idx="426">
                  <c:v>886.83738907352461</c:v>
                </c:pt>
                <c:pt idx="427">
                  <c:v>878.756322735499</c:v>
                </c:pt>
                <c:pt idx="428">
                  <c:v>870.60447747417766</c:v>
                </c:pt>
                <c:pt idx="429">
                  <c:v>862.38233789697881</c:v>
                </c:pt>
                <c:pt idx="430">
                  <c:v>854.09039039287234</c:v>
                </c:pt>
                <c:pt idx="431">
                  <c:v>845.72912305020327</c:v>
                </c:pt>
                <c:pt idx="432">
                  <c:v>837.29902557488151</c:v>
                </c:pt>
                <c:pt idx="433">
                  <c:v>828.80058920896067</c:v>
                </c:pt>
                <c:pt idx="434">
                  <c:v>820.23430664962996</c:v>
                </c:pt>
                <c:pt idx="435">
                  <c:v>811.60067196864213</c:v>
                </c:pt>
                <c:pt idx="436">
                  <c:v>802.90018053219978</c:v>
                </c:pt>
                <c:pt idx="437">
                  <c:v>794.13332892132189</c:v>
                </c:pt>
                <c:pt idx="438">
                  <c:v>785.30061485271153</c:v>
                </c:pt>
                <c:pt idx="439">
                  <c:v>776.40253710014679</c:v>
                </c:pt>
                <c:pt idx="440">
                  <c:v>767.43959541641311</c:v>
                </c:pt>
                <c:pt idx="441">
                  <c:v>758.41229045579882</c:v>
                </c:pt>
                <c:pt idx="442">
                  <c:v>749.32112369717174</c:v>
                </c:pt>
                <c:pt idx="443">
                  <c:v>740.16659736765553</c:v>
                </c:pt>
                <c:pt idx="444">
                  <c:v>730.94921436692437</c:v>
                </c:pt>
                <c:pt idx="445">
                  <c:v>721.66947819213317</c:v>
                </c:pt>
                <c:pt idx="446">
                  <c:v>712.32789286350044</c:v>
                </c:pt>
                <c:pt idx="447">
                  <c:v>702.92496285055984</c:v>
                </c:pt>
                <c:pt idx="448">
                  <c:v>693.46119299909662</c:v>
                </c:pt>
                <c:pt idx="449">
                  <c:v>683.93708845878473</c:v>
                </c:pt>
                <c:pt idx="450">
                  <c:v>674.35315461153823</c:v>
                </c:pt>
                <c:pt idx="451">
                  <c:v>664.70989700059249</c:v>
                </c:pt>
                <c:pt idx="452">
                  <c:v>655.007821260328</c:v>
                </c:pt>
                <c:pt idx="453">
                  <c:v>645.24743304685069</c:v>
                </c:pt>
                <c:pt idx="454">
                  <c:v>635.42923796934076</c:v>
                </c:pt>
                <c:pt idx="455">
                  <c:v>625.55374152218303</c:v>
                </c:pt>
                <c:pt idx="456">
                  <c:v>615.62144901788895</c:v>
                </c:pt>
                <c:pt idx="457">
                  <c:v>605.63286552082309</c:v>
                </c:pt>
                <c:pt idx="458">
                  <c:v>595.58849578174363</c:v>
                </c:pt>
                <c:pt idx="459">
                  <c:v>585.48884417316674</c:v>
                </c:pt>
                <c:pt idx="460">
                  <c:v>575.33441462556516</c:v>
                </c:pt>
                <c:pt idx="461">
                  <c:v>565.12571056440913</c:v>
                </c:pt>
                <c:pt idx="462">
                  <c:v>554.86323484805916</c:v>
                </c:pt>
                <c:pt idx="463">
                  <c:v>544.54748970651758</c:v>
                </c:pt>
                <c:pt idx="464">
                  <c:v>534.17897668104729</c:v>
                </c:pt>
                <c:pt idx="465">
                  <c:v>523.75819656466399</c:v>
                </c:pt>
                <c:pt idx="466">
                  <c:v>513.28564934350902</c:v>
                </c:pt>
                <c:pt idx="467">
                  <c:v>502.76183413910854</c:v>
                </c:pt>
                <c:pt idx="468">
                  <c:v>492.18724915152472</c:v>
                </c:pt>
                <c:pt idx="469">
                  <c:v>481.56239160340408</c:v>
                </c:pt>
                <c:pt idx="470">
                  <c:v>470.88775768492741</c:v>
                </c:pt>
                <c:pt idx="471">
                  <c:v>460.16384249966586</c:v>
                </c:pt>
                <c:pt idx="472">
                  <c:v>449.39114001134647</c:v>
                </c:pt>
                <c:pt idx="473">
                  <c:v>438.57014299153076</c:v>
                </c:pt>
                <c:pt idx="474">
                  <c:v>427.70134296820919</c:v>
                </c:pt>
                <c:pt idx="475">
                  <c:v>416.7852301753137</c:v>
                </c:pt>
                <c:pt idx="476">
                  <c:v>405.82229350315055</c:v>
                </c:pt>
                <c:pt idx="477">
                  <c:v>394.8130204497549</c:v>
                </c:pt>
                <c:pt idx="478">
                  <c:v>383.75789707316841</c:v>
                </c:pt>
                <c:pt idx="479">
                  <c:v>372.65740794464057</c:v>
                </c:pt>
                <c:pt idx="480">
                  <c:v>361.51203610275388</c:v>
                </c:pt>
                <c:pt idx="481">
                  <c:v>350.3222630084735</c:v>
                </c:pt>
                <c:pt idx="482">
                  <c:v>339.08856850112011</c:v>
                </c:pt>
                <c:pt idx="483">
                  <c:v>327.8114307552658</c:v>
                </c:pt>
                <c:pt idx="484">
                  <c:v>316.49132623855189</c:v>
                </c:pt>
                <c:pt idx="485">
                  <c:v>305.12872967042671</c:v>
                </c:pt>
                <c:pt idx="486">
                  <c:v>293.72411398180168</c:v>
                </c:pt>
                <c:pt idx="487">
                  <c:v>282.27795027562382</c:v>
                </c:pt>
                <c:pt idx="488">
                  <c:v>270.79070778836177</c:v>
                </c:pt>
                <c:pt idx="489">
                  <c:v>259.26285385240249</c:v>
                </c:pt>
                <c:pt idx="490">
                  <c:v>247.6948538593557</c:v>
                </c:pt>
                <c:pt idx="491">
                  <c:v>236.08717122426236</c:v>
                </c:pt>
                <c:pt idx="492">
                  <c:v>224.44026735070344</c:v>
                </c:pt>
                <c:pt idx="493">
                  <c:v>212.75460159680506</c:v>
                </c:pt>
                <c:pt idx="494">
                  <c:v>201.03063124213537</c:v>
                </c:pt>
                <c:pt idx="495">
                  <c:v>189.26881145548873</c:v>
                </c:pt>
                <c:pt idx="496">
                  <c:v>177.46959526355215</c:v>
                </c:pt>
                <c:pt idx="497">
                  <c:v>165.63343352044893</c:v>
                </c:pt>
                <c:pt idx="498">
                  <c:v>153.76077487815394</c:v>
                </c:pt>
                <c:pt idx="499">
                  <c:v>141.85206575777497</c:v>
                </c:pt>
                <c:pt idx="500">
                  <c:v>129.90775032169415</c:v>
                </c:pt>
                <c:pt idx="501">
                  <c:v>117.92827044656339</c:v>
                </c:pt>
                <c:pt idx="502">
                  <c:v>105.91406569714735</c:v>
                </c:pt>
                <c:pt idx="503">
                  <c:v>93.865573301007515</c:v>
                </c:pt>
                <c:pt idx="504">
                  <c:v>81.783228124020482</c:v>
                </c:pt>
                <c:pt idx="505">
                  <c:v>69.667462646723493</c:v>
                </c:pt>
                <c:pt idx="506">
                  <c:v>57.518706941480069</c:v>
                </c:pt>
                <c:pt idx="507">
                  <c:v>45.337388650458387</c:v>
                </c:pt>
                <c:pt idx="508">
                  <c:v>33.123932964414863</c:v>
                </c:pt>
                <c:pt idx="509">
                  <c:v>20.878762602275266</c:v>
                </c:pt>
                <c:pt idx="510">
                  <c:v>8.602297791505455</c:v>
                </c:pt>
                <c:pt idx="511">
                  <c:v>-3.7050437507362108</c:v>
                </c:pt>
                <c:pt idx="512">
                  <c:v>-3.7173664416571324</c:v>
                </c:pt>
                <c:pt idx="513">
                  <c:v>-3.7296891628324311</c:v>
                </c:pt>
                <c:pt idx="514">
                  <c:v>-3.7420119142616972</c:v>
                </c:pt>
                <c:pt idx="515">
                  <c:v>-3.7543346959445199</c:v>
                </c:pt>
                <c:pt idx="516">
                  <c:v>-3.7666575078804887</c:v>
                </c:pt>
                <c:pt idx="517">
                  <c:v>-3.7789803500691934</c:v>
                </c:pt>
                <c:pt idx="518">
                  <c:v>-3.7913032225102237</c:v>
                </c:pt>
                <c:pt idx="519">
                  <c:v>-3.8036261252031691</c:v>
                </c:pt>
                <c:pt idx="520">
                  <c:v>-3.815949058147619</c:v>
                </c:pt>
                <c:pt idx="521">
                  <c:v>-3.8282720213431634</c:v>
                </c:pt>
                <c:pt idx="522">
                  <c:v>-3.8405950147893919</c:v>
                </c:pt>
                <c:pt idx="523">
                  <c:v>-3.8529180384858939</c:v>
                </c:pt>
                <c:pt idx="524">
                  <c:v>-3.8652410924322593</c:v>
                </c:pt>
                <c:pt idx="525">
                  <c:v>-3.8775641766280775</c:v>
                </c:pt>
                <c:pt idx="526">
                  <c:v>-3.8898872910729385</c:v>
                </c:pt>
                <c:pt idx="527">
                  <c:v>-3.9022104357664316</c:v>
                </c:pt>
                <c:pt idx="528">
                  <c:v>-3.9145336107081463</c:v>
                </c:pt>
                <c:pt idx="529">
                  <c:v>-3.9268568158976724</c:v>
                </c:pt>
                <c:pt idx="530">
                  <c:v>-3.9391800513346</c:v>
                </c:pt>
                <c:pt idx="531">
                  <c:v>-3.9515033170185183</c:v>
                </c:pt>
                <c:pt idx="532">
                  <c:v>-3.9638266129490169</c:v>
                </c:pt>
                <c:pt idx="533">
                  <c:v>-3.9761499391256856</c:v>
                </c:pt>
                <c:pt idx="534">
                  <c:v>-3.9884732955481144</c:v>
                </c:pt>
                <c:pt idx="535">
                  <c:v>-4.000796682215892</c:v>
                </c:pt>
                <c:pt idx="536">
                  <c:v>-4.0131200991286091</c:v>
                </c:pt>
                <c:pt idx="537">
                  <c:v>-4.0254435462858549</c:v>
                </c:pt>
                <c:pt idx="538">
                  <c:v>-4.037767023687219</c:v>
                </c:pt>
                <c:pt idx="539">
                  <c:v>-4.0500905313322919</c:v>
                </c:pt>
                <c:pt idx="540">
                  <c:v>-4.0624140692206625</c:v>
                </c:pt>
                <c:pt idx="541">
                  <c:v>-4.0747376373519204</c:v>
                </c:pt>
                <c:pt idx="542">
                  <c:v>-4.0870612357256553</c:v>
                </c:pt>
                <c:pt idx="543">
                  <c:v>-4.0993848643414568</c:v>
                </c:pt>
                <c:pt idx="544">
                  <c:v>-4.1117085231989154</c:v>
                </c:pt>
                <c:pt idx="545">
                  <c:v>-4.1240322122976201</c:v>
                </c:pt>
                <c:pt idx="546">
                  <c:v>-4.1363559316371603</c:v>
                </c:pt>
                <c:pt idx="547">
                  <c:v>-4.1486796812171267</c:v>
                </c:pt>
                <c:pt idx="548">
                  <c:v>-4.1610034610371081</c:v>
                </c:pt>
                <c:pt idx="549">
                  <c:v>-4.1733272710966949</c:v>
                </c:pt>
                <c:pt idx="550">
                  <c:v>-4.185651111395476</c:v>
                </c:pt>
                <c:pt idx="551">
                  <c:v>-4.1979749819330419</c:v>
                </c:pt>
                <c:pt idx="552">
                  <c:v>-4.2102988827089813</c:v>
                </c:pt>
                <c:pt idx="553">
                  <c:v>-4.2226228137228849</c:v>
                </c:pt>
                <c:pt idx="554">
                  <c:v>-4.2349467749743424</c:v>
                </c:pt>
                <c:pt idx="555">
                  <c:v>-4.2472707664629423</c:v>
                </c:pt>
                <c:pt idx="556">
                  <c:v>-4.2595947881882754</c:v>
                </c:pt>
                <c:pt idx="557">
                  <c:v>-4.2719188401499313</c:v>
                </c:pt>
                <c:pt idx="558">
                  <c:v>-4.2842429223474996</c:v>
                </c:pt>
                <c:pt idx="559">
                  <c:v>-4.29656703478057</c:v>
                </c:pt>
                <c:pt idx="560">
                  <c:v>-4.3088911774487322</c:v>
                </c:pt>
                <c:pt idx="561">
                  <c:v>-4.3212153503515758</c:v>
                </c:pt>
                <c:pt idx="562">
                  <c:v>-4.3335395534886914</c:v>
                </c:pt>
                <c:pt idx="563">
                  <c:v>-4.3458637868596677</c:v>
                </c:pt>
                <c:pt idx="564">
                  <c:v>-4.3581880504640953</c:v>
                </c:pt>
                <c:pt idx="565">
                  <c:v>-4.370512344301563</c:v>
                </c:pt>
                <c:pt idx="566">
                  <c:v>-4.3828366683716613</c:v>
                </c:pt>
                <c:pt idx="567">
                  <c:v>-4.395161022673979</c:v>
                </c:pt>
                <c:pt idx="568">
                  <c:v>-4.4074854072081067</c:v>
                </c:pt>
                <c:pt idx="569">
                  <c:v>-4.4198098219736339</c:v>
                </c:pt>
                <c:pt idx="570">
                  <c:v>-4.4321342669701504</c:v>
                </c:pt>
                <c:pt idx="571">
                  <c:v>-4.4444587421972459</c:v>
                </c:pt>
                <c:pt idx="572">
                  <c:v>-4.4567832476545108</c:v>
                </c:pt>
                <c:pt idx="573">
                  <c:v>-4.469107783341534</c:v>
                </c:pt>
                <c:pt idx="574">
                  <c:v>-4.4814323492579051</c:v>
                </c:pt>
                <c:pt idx="575">
                  <c:v>-4.4937569454032147</c:v>
                </c:pt>
                <c:pt idx="576">
                  <c:v>-4.5060815717770524</c:v>
                </c:pt>
                <c:pt idx="577">
                  <c:v>-4.518406228379007</c:v>
                </c:pt>
                <c:pt idx="578">
                  <c:v>-4.530730915208669</c:v>
                </c:pt>
                <c:pt idx="579">
                  <c:v>-4.5430556322656281</c:v>
                </c:pt>
                <c:pt idx="580">
                  <c:v>-4.5553803795494749</c:v>
                </c:pt>
                <c:pt idx="581">
                  <c:v>-4.5677051570597982</c:v>
                </c:pt>
                <c:pt idx="582">
                  <c:v>-4.5800299647961875</c:v>
                </c:pt>
                <c:pt idx="583">
                  <c:v>-4.5923548027582335</c:v>
                </c:pt>
                <c:pt idx="584">
                  <c:v>-4.6046796709455258</c:v>
                </c:pt>
                <c:pt idx="585">
                  <c:v>-4.617004569357654</c:v>
                </c:pt>
                <c:pt idx="586">
                  <c:v>-4.6293294979942079</c:v>
                </c:pt>
                <c:pt idx="587">
                  <c:v>-4.6416544568547771</c:v>
                </c:pt>
                <c:pt idx="588">
                  <c:v>-4.6539794459389512</c:v>
                </c:pt>
                <c:pt idx="589">
                  <c:v>-4.6663044652463208</c:v>
                </c:pt>
                <c:pt idx="590">
                  <c:v>-4.6786295147764756</c:v>
                </c:pt>
                <c:pt idx="591">
                  <c:v>-4.6909545945290043</c:v>
                </c:pt>
                <c:pt idx="592">
                  <c:v>-4.7032797045034975</c:v>
                </c:pt>
                <c:pt idx="593">
                  <c:v>-4.7156048446995458</c:v>
                </c:pt>
                <c:pt idx="594">
                  <c:v>-4.7279300151167378</c:v>
                </c:pt>
                <c:pt idx="595">
                  <c:v>-4.7402552157546634</c:v>
                </c:pt>
                <c:pt idx="596">
                  <c:v>-4.7525804466129129</c:v>
                </c:pt>
                <c:pt idx="597">
                  <c:v>-4.7649057076910761</c:v>
                </c:pt>
                <c:pt idx="598">
                  <c:v>-4.7772309989887427</c:v>
                </c:pt>
                <c:pt idx="599">
                  <c:v>-4.7895563205055023</c:v>
                </c:pt>
                <c:pt idx="600">
                  <c:v>-4.8018816722409454</c:v>
                </c:pt>
                <c:pt idx="601">
                  <c:v>-4.8142070541946609</c:v>
                </c:pt>
                <c:pt idx="602">
                  <c:v>-4.8265324663662392</c:v>
                </c:pt>
                <c:pt idx="603">
                  <c:v>-4.8388579087552701</c:v>
                </c:pt>
                <c:pt idx="604">
                  <c:v>-4.8511833813613432</c:v>
                </c:pt>
                <c:pt idx="605">
                  <c:v>-4.863508884184049</c:v>
                </c:pt>
                <c:pt idx="606">
                  <c:v>-4.8758344172229764</c:v>
                </c:pt>
                <c:pt idx="607">
                  <c:v>-4.8881599804777158</c:v>
                </c:pt>
                <c:pt idx="608">
                  <c:v>-4.900485573947857</c:v>
                </c:pt>
                <c:pt idx="609">
                  <c:v>-4.9128111976329905</c:v>
                </c:pt>
                <c:pt idx="610">
                  <c:v>-4.925136851532705</c:v>
                </c:pt>
                <c:pt idx="611">
                  <c:v>-4.9374625356465911</c:v>
                </c:pt>
                <c:pt idx="612">
                  <c:v>-4.9497882499742385</c:v>
                </c:pt>
                <c:pt idx="613">
                  <c:v>-4.9621139945152368</c:v>
                </c:pt>
                <c:pt idx="614">
                  <c:v>-4.9744397692691757</c:v>
                </c:pt>
                <c:pt idx="615">
                  <c:v>-4.9867655742356458</c:v>
                </c:pt>
                <c:pt idx="616">
                  <c:v>-4.9990914094142367</c:v>
                </c:pt>
                <c:pt idx="617">
                  <c:v>-5.011417274804538</c:v>
                </c:pt>
                <c:pt idx="618">
                  <c:v>-5.0237431704061395</c:v>
                </c:pt>
                <c:pt idx="619">
                  <c:v>-5.0360690962186307</c:v>
                </c:pt>
                <c:pt idx="620">
                  <c:v>-5.0483950522416023</c:v>
                </c:pt>
                <c:pt idx="621">
                  <c:v>-5.0607210384746439</c:v>
                </c:pt>
                <c:pt idx="622">
                  <c:v>-5.0730470549173461</c:v>
                </c:pt>
                <c:pt idx="623">
                  <c:v>-5.0853731015692976</c:v>
                </c:pt>
                <c:pt idx="624">
                  <c:v>-5.0976991784300889</c:v>
                </c:pt>
                <c:pt idx="625">
                  <c:v>-5.1100252854993098</c:v>
                </c:pt>
                <c:pt idx="626">
                  <c:v>-5.1223514227765499</c:v>
                </c:pt>
                <c:pt idx="627">
                  <c:v>-5.1346775902613997</c:v>
                </c:pt>
                <c:pt idx="628">
                  <c:v>-5.1470037879534489</c:v>
                </c:pt>
                <c:pt idx="629">
                  <c:v>-5.1593300158522872</c:v>
                </c:pt>
                <c:pt idx="630">
                  <c:v>-5.1716562739575043</c:v>
                </c:pt>
                <c:pt idx="631">
                  <c:v>-5.1839825622686906</c:v>
                </c:pt>
                <c:pt idx="632">
                  <c:v>-5.1963088807854358</c:v>
                </c:pt>
                <c:pt idx="633">
                  <c:v>-5.2086352295073297</c:v>
                </c:pt>
                <c:pt idx="634">
                  <c:v>-5.2209616084339627</c:v>
                </c:pt>
                <c:pt idx="635">
                  <c:v>-5.2332880175649246</c:v>
                </c:pt>
                <c:pt idx="636">
                  <c:v>-5.2456144568998049</c:v>
                </c:pt>
                <c:pt idx="637">
                  <c:v>-5.2579409264381933</c:v>
                </c:pt>
                <c:pt idx="638">
                  <c:v>-5.2702674261796805</c:v>
                </c:pt>
                <c:pt idx="639">
                  <c:v>-5.282593956123856</c:v>
                </c:pt>
                <c:pt idx="640">
                  <c:v>-5.2949205162703095</c:v>
                </c:pt>
                <c:pt idx="641">
                  <c:v>-5.3072471066186315</c:v>
                </c:pt>
                <c:pt idx="642">
                  <c:v>-5.3195737271684118</c:v>
                </c:pt>
                <c:pt idx="643">
                  <c:v>-5.33190037791924</c:v>
                </c:pt>
                <c:pt idx="644">
                  <c:v>-5.3442270588707057</c:v>
                </c:pt>
                <c:pt idx="645">
                  <c:v>-5.3565537700223995</c:v>
                </c:pt>
                <c:pt idx="646">
                  <c:v>-5.3688805113739111</c:v>
                </c:pt>
                <c:pt idx="647">
                  <c:v>-5.381207282924831</c:v>
                </c:pt>
                <c:pt idx="648">
                  <c:v>-5.3935340846747488</c:v>
                </c:pt>
                <c:pt idx="649">
                  <c:v>-5.4058609166232543</c:v>
                </c:pt>
                <c:pt idx="650">
                  <c:v>-5.4181877787699371</c:v>
                </c:pt>
                <c:pt idx="651">
                  <c:v>-5.4305146711143877</c:v>
                </c:pt>
                <c:pt idx="652">
                  <c:v>-5.4428415936561958</c:v>
                </c:pt>
                <c:pt idx="653">
                  <c:v>-5.455168546394952</c:v>
                </c:pt>
                <c:pt idx="654">
                  <c:v>-5.4674955293302459</c:v>
                </c:pt>
                <c:pt idx="655">
                  <c:v>-5.4798225424616671</c:v>
                </c:pt>
                <c:pt idx="656">
                  <c:v>-5.4921495857888054</c:v>
                </c:pt>
                <c:pt idx="657">
                  <c:v>-5.5044766593112513</c:v>
                </c:pt>
                <c:pt idx="658">
                  <c:v>-5.5168037630285953</c:v>
                </c:pt>
                <c:pt idx="659">
                  <c:v>-5.5291308969404263</c:v>
                </c:pt>
                <c:pt idx="660">
                  <c:v>-5.5414580610463346</c:v>
                </c:pt>
                <c:pt idx="661">
                  <c:v>-5.5537852553459102</c:v>
                </c:pt>
                <c:pt idx="662">
                  <c:v>-5.5661124798387434</c:v>
                </c:pt>
                <c:pt idx="663">
                  <c:v>-5.5784397345244239</c:v>
                </c:pt>
                <c:pt idx="664">
                  <c:v>-5.5907670194025423</c:v>
                </c:pt>
                <c:pt idx="665">
                  <c:v>-5.6030943344726873</c:v>
                </c:pt>
                <c:pt idx="666">
                  <c:v>-5.6154216797344496</c:v>
                </c:pt>
                <c:pt idx="667">
                  <c:v>-5.6277490551874196</c:v>
                </c:pt>
                <c:pt idx="668">
                  <c:v>-5.6400764608311871</c:v>
                </c:pt>
                <c:pt idx="669">
                  <c:v>-5.6524038966653416</c:v>
                </c:pt>
                <c:pt idx="670">
                  <c:v>-5.6647313626894737</c:v>
                </c:pt>
                <c:pt idx="671">
                  <c:v>-5.6770588589031732</c:v>
                </c:pt>
                <c:pt idx="672">
                  <c:v>-5.6893863853060305</c:v>
                </c:pt>
                <c:pt idx="673">
                  <c:v>-5.7017139418976344</c:v>
                </c:pt>
                <c:pt idx="674">
                  <c:v>-5.7140415286775763</c:v>
                </c:pt>
                <c:pt idx="675">
                  <c:v>-5.7263691456454451</c:v>
                </c:pt>
                <c:pt idx="676">
                  <c:v>-5.7386967928008321</c:v>
                </c:pt>
                <c:pt idx="677">
                  <c:v>-5.7510244701433262</c:v>
                </c:pt>
                <c:pt idx="678">
                  <c:v>-5.7633521776725178</c:v>
                </c:pt>
                <c:pt idx="679">
                  <c:v>-5.7756799153879967</c:v>
                </c:pt>
                <c:pt idx="680">
                  <c:v>-5.7880076832893534</c:v>
                </c:pt>
                <c:pt idx="681">
                  <c:v>-5.8003354813761776</c:v>
                </c:pt>
                <c:pt idx="682">
                  <c:v>-5.8126633096480598</c:v>
                </c:pt>
                <c:pt idx="683">
                  <c:v>-5.8249911681045896</c:v>
                </c:pt>
                <c:pt idx="684">
                  <c:v>-5.8373190567453568</c:v>
                </c:pt>
                <c:pt idx="685">
                  <c:v>-5.8496469755699518</c:v>
                </c:pt>
                <c:pt idx="686">
                  <c:v>-5.8619749245779644</c:v>
                </c:pt>
                <c:pt idx="687">
                  <c:v>-5.8743029037689851</c:v>
                </c:pt>
                <c:pt idx="688">
                  <c:v>-5.8866309131426036</c:v>
                </c:pt>
                <c:pt idx="689">
                  <c:v>-5.8989589526984103</c:v>
                </c:pt>
                <c:pt idx="690">
                  <c:v>-5.911287022435995</c:v>
                </c:pt>
                <c:pt idx="691">
                  <c:v>-5.9236151223549482</c:v>
                </c:pt>
                <c:pt idx="692">
                  <c:v>-5.9359432524548597</c:v>
                </c:pt>
                <c:pt idx="693">
                  <c:v>-5.9482714127353189</c:v>
                </c:pt>
                <c:pt idx="694">
                  <c:v>-5.9605996031959165</c:v>
                </c:pt>
                <c:pt idx="695">
                  <c:v>-5.9729278238362422</c:v>
                </c:pt>
                <c:pt idx="696">
                  <c:v>-5.9852560746558865</c:v>
                </c:pt>
                <c:pt idx="697">
                  <c:v>-5.997584355654439</c:v>
                </c:pt>
                <c:pt idx="698">
                  <c:v>-6.0099126668314904</c:v>
                </c:pt>
                <c:pt idx="699">
                  <c:v>-6.0222410081866302</c:v>
                </c:pt>
                <c:pt idx="700">
                  <c:v>-6.0345693797194491</c:v>
                </c:pt>
                <c:pt idx="701">
                  <c:v>-6.0468977814295366</c:v>
                </c:pt>
                <c:pt idx="702">
                  <c:v>-6.0592262133164834</c:v>
                </c:pt>
                <c:pt idx="703">
                  <c:v>-6.071554675379879</c:v>
                </c:pt>
                <c:pt idx="704">
                  <c:v>-6.0838831676193132</c:v>
                </c:pt>
                <c:pt idx="705">
                  <c:v>-6.0962116900343775</c:v>
                </c:pt>
                <c:pt idx="706">
                  <c:v>-6.1085402426246604</c:v>
                </c:pt>
                <c:pt idx="707">
                  <c:v>-6.1208688253897527</c:v>
                </c:pt>
                <c:pt idx="708">
                  <c:v>-6.1331974383292449</c:v>
                </c:pt>
                <c:pt idx="709">
                  <c:v>-6.1455260814427266</c:v>
                </c:pt>
                <c:pt idx="710">
                  <c:v>-6.1578547547297875</c:v>
                </c:pt>
                <c:pt idx="711">
                  <c:v>-6.1701834581900181</c:v>
                </c:pt>
                <c:pt idx="712">
                  <c:v>-6.182512191823009</c:v>
                </c:pt>
                <c:pt idx="713">
                  <c:v>-6.1948409556283499</c:v>
                </c:pt>
                <c:pt idx="714">
                  <c:v>-6.2071697496056313</c:v>
                </c:pt>
                <c:pt idx="715">
                  <c:v>-6.2194985737544428</c:v>
                </c:pt>
                <c:pt idx="716">
                  <c:v>-6.2318274280743751</c:v>
                </c:pt>
                <c:pt idx="717">
                  <c:v>-6.2441563125650177</c:v>
                </c:pt>
                <c:pt idx="718">
                  <c:v>-6.2564852272259603</c:v>
                </c:pt>
                <c:pt idx="719">
                  <c:v>-6.2688141720567945</c:v>
                </c:pt>
                <c:pt idx="720">
                  <c:v>-6.2811431470571089</c:v>
                </c:pt>
                <c:pt idx="721">
                  <c:v>-6.2934721522264949</c:v>
                </c:pt>
                <c:pt idx="722">
                  <c:v>-6.3058011875645423</c:v>
                </c:pt>
                <c:pt idx="723">
                  <c:v>-6.3181302530708408</c:v>
                </c:pt>
                <c:pt idx="724">
                  <c:v>-6.3304593487449807</c:v>
                </c:pt>
                <c:pt idx="725">
                  <c:v>-6.3427884745865519</c:v>
                </c:pt>
                <c:pt idx="726">
                  <c:v>-6.3551176305951449</c:v>
                </c:pt>
                <c:pt idx="727">
                  <c:v>-6.3674468167703502</c:v>
                </c:pt>
                <c:pt idx="728">
                  <c:v>-6.3797760331117574</c:v>
                </c:pt>
                <c:pt idx="729">
                  <c:v>-6.3921052796189572</c:v>
                </c:pt>
                <c:pt idx="730">
                  <c:v>-6.4044345562915392</c:v>
                </c:pt>
                <c:pt idx="731">
                  <c:v>-6.416763863129094</c:v>
                </c:pt>
                <c:pt idx="732">
                  <c:v>-6.4290932001312111</c:v>
                </c:pt>
                <c:pt idx="733">
                  <c:v>-6.4414225672974812</c:v>
                </c:pt>
                <c:pt idx="734">
                  <c:v>-6.4537519646274939</c:v>
                </c:pt>
                <c:pt idx="735">
                  <c:v>-6.4660813921208398</c:v>
                </c:pt>
                <c:pt idx="736">
                  <c:v>-6.4784108497771093</c:v>
                </c:pt>
                <c:pt idx="737">
                  <c:v>-6.4907403375958923</c:v>
                </c:pt>
                <c:pt idx="738">
                  <c:v>-6.5030698555767792</c:v>
                </c:pt>
                <c:pt idx="739">
                  <c:v>-6.5153994037193597</c:v>
                </c:pt>
                <c:pt idx="740">
                  <c:v>-6.5277289820232243</c:v>
                </c:pt>
                <c:pt idx="741">
                  <c:v>-6.5400585904879636</c:v>
                </c:pt>
                <c:pt idx="742">
                  <c:v>-6.5523882291131672</c:v>
                </c:pt>
                <c:pt idx="743">
                  <c:v>-6.5647178978984257</c:v>
                </c:pt>
                <c:pt idx="744">
                  <c:v>-6.5770475968433288</c:v>
                </c:pt>
                <c:pt idx="745">
                  <c:v>-6.5893773259474671</c:v>
                </c:pt>
                <c:pt idx="746">
                  <c:v>-6.6017070852104309</c:v>
                </c:pt>
                <c:pt idx="747">
                  <c:v>-6.6140368746318101</c:v>
                </c:pt>
                <c:pt idx="748">
                  <c:v>-6.6263666942111952</c:v>
                </c:pt>
                <c:pt idx="749">
                  <c:v>-6.6386965439481758</c:v>
                </c:pt>
                <c:pt idx="750">
                  <c:v>-6.6510264238423424</c:v>
                </c:pt>
                <c:pt idx="751">
                  <c:v>-6.6633563338932857</c:v>
                </c:pt>
                <c:pt idx="752">
                  <c:v>-6.6756862741005953</c:v>
                </c:pt>
                <c:pt idx="753">
                  <c:v>-6.6880162444638618</c:v>
                </c:pt>
                <c:pt idx="754">
                  <c:v>-6.7003462449826756</c:v>
                </c:pt>
                <c:pt idx="755">
                  <c:v>-6.7126762756566265</c:v>
                </c:pt>
                <c:pt idx="756">
                  <c:v>-6.7250063364853041</c:v>
                </c:pt>
                <c:pt idx="757">
                  <c:v>-6.7373364274682999</c:v>
                </c:pt>
                <c:pt idx="758">
                  <c:v>-6.7496665486052034</c:v>
                </c:pt>
                <c:pt idx="759">
                  <c:v>-6.7619966998956054</c:v>
                </c:pt>
                <c:pt idx="760">
                  <c:v>-6.7743268813390953</c:v>
                </c:pt>
                <c:pt idx="761">
                  <c:v>-6.7866570929352639</c:v>
                </c:pt>
                <c:pt idx="762">
                  <c:v>-6.7989873346837015</c:v>
                </c:pt>
                <c:pt idx="763">
                  <c:v>-6.811317606583998</c:v>
                </c:pt>
                <c:pt idx="764">
                  <c:v>-6.8236479086357438</c:v>
                </c:pt>
                <c:pt idx="765">
                  <c:v>-6.8359782408385286</c:v>
                </c:pt>
                <c:pt idx="766">
                  <c:v>-6.8483086031919438</c:v>
                </c:pt>
                <c:pt idx="767">
                  <c:v>-6.8606389956955791</c:v>
                </c:pt>
                <c:pt idx="768">
                  <c:v>-6.8729694183490242</c:v>
                </c:pt>
                <c:pt idx="769">
                  <c:v>-6.8852998711518696</c:v>
                </c:pt>
                <c:pt idx="770">
                  <c:v>-6.8976303541037058</c:v>
                </c:pt>
                <c:pt idx="771">
                  <c:v>-6.9099608672041235</c:v>
                </c:pt>
                <c:pt idx="772">
                  <c:v>-6.9222914104527122</c:v>
                </c:pt>
                <c:pt idx="773">
                  <c:v>-6.9346219838490626</c:v>
                </c:pt>
                <c:pt idx="774">
                  <c:v>-6.9469525873927651</c:v>
                </c:pt>
                <c:pt idx="775">
                  <c:v>-6.9592832210834095</c:v>
                </c:pt>
                <c:pt idx="776">
                  <c:v>-6.9716138849205862</c:v>
                </c:pt>
                <c:pt idx="777">
                  <c:v>-6.9839445789038859</c:v>
                </c:pt>
                <c:pt idx="778">
                  <c:v>-6.996275303032899</c:v>
                </c:pt>
                <c:pt idx="779">
                  <c:v>-7.0086060573072153</c:v>
                </c:pt>
                <c:pt idx="780">
                  <c:v>-7.0209368417264253</c:v>
                </c:pt>
                <c:pt idx="781">
                  <c:v>-7.0332676562901186</c:v>
                </c:pt>
                <c:pt idx="782">
                  <c:v>-7.0455985009978859</c:v>
                </c:pt>
                <c:pt idx="783">
                  <c:v>-7.0579293758493176</c:v>
                </c:pt>
                <c:pt idx="784">
                  <c:v>-7.0702602808440043</c:v>
                </c:pt>
                <c:pt idx="785">
                  <c:v>-7.0825912159815356</c:v>
                </c:pt>
                <c:pt idx="786">
                  <c:v>-7.0949221812615031</c:v>
                </c:pt>
                <c:pt idx="787">
                  <c:v>-7.1072531766834954</c:v>
                </c:pt>
                <c:pt idx="788">
                  <c:v>-7.1195842022471041</c:v>
                </c:pt>
                <c:pt idx="789">
                  <c:v>-7.1319152579519187</c:v>
                </c:pt>
                <c:pt idx="790">
                  <c:v>-7.1442463437975299</c:v>
                </c:pt>
                <c:pt idx="791">
                  <c:v>-7.1565774597835281</c:v>
                </c:pt>
                <c:pt idx="792">
                  <c:v>-7.168908605909504</c:v>
                </c:pt>
                <c:pt idx="793">
                  <c:v>-7.1812397821750471</c:v>
                </c:pt>
                <c:pt idx="794">
                  <c:v>-7.1935709885797481</c:v>
                </c:pt>
                <c:pt idx="795">
                  <c:v>-7.2059022251231966</c:v>
                </c:pt>
                <c:pt idx="796">
                  <c:v>-7.218233491804984</c:v>
                </c:pt>
                <c:pt idx="797">
                  <c:v>-7.2305647886247</c:v>
                </c:pt>
                <c:pt idx="798">
                  <c:v>-7.2428961155819351</c:v>
                </c:pt>
                <c:pt idx="799">
                  <c:v>-7.25522747267628</c:v>
                </c:pt>
                <c:pt idx="800">
                  <c:v>-7.2675588599073242</c:v>
                </c:pt>
                <c:pt idx="801">
                  <c:v>-7.2798902772746592</c:v>
                </c:pt>
                <c:pt idx="802">
                  <c:v>-7.2922217247778747</c:v>
                </c:pt>
                <c:pt idx="803">
                  <c:v>-7.3045532024165603</c:v>
                </c:pt>
                <c:pt idx="804">
                  <c:v>-7.3168847101903074</c:v>
                </c:pt>
                <c:pt idx="805">
                  <c:v>-7.3292162480987058</c:v>
                </c:pt>
                <c:pt idx="806">
                  <c:v>-7.3415478161413459</c:v>
                </c:pt>
                <c:pt idx="807">
                  <c:v>-7.3538794143178183</c:v>
                </c:pt>
                <c:pt idx="808">
                  <c:v>-7.3662110426277136</c:v>
                </c:pt>
                <c:pt idx="809">
                  <c:v>-7.3785427010706215</c:v>
                </c:pt>
                <c:pt idx="810">
                  <c:v>-7.3908743896461333</c:v>
                </c:pt>
                <c:pt idx="811">
                  <c:v>-7.4032061083538387</c:v>
                </c:pt>
                <c:pt idx="812">
                  <c:v>-7.4155378571933284</c:v>
                </c:pt>
                <c:pt idx="813">
                  <c:v>-7.4278696361641918</c:v>
                </c:pt>
                <c:pt idx="814">
                  <c:v>-7.4402014452660206</c:v>
                </c:pt>
                <c:pt idx="815">
                  <c:v>-7.4525332844984042</c:v>
                </c:pt>
                <c:pt idx="816">
                  <c:v>-7.4648651538609334</c:v>
                </c:pt>
                <c:pt idx="817">
                  <c:v>-7.4771970533531986</c:v>
                </c:pt>
                <c:pt idx="818">
                  <c:v>-7.4895289829747895</c:v>
                </c:pt>
                <c:pt idx="819">
                  <c:v>-7.5018609427252976</c:v>
                </c:pt>
                <c:pt idx="820">
                  <c:v>-7.5141929326043124</c:v>
                </c:pt>
                <c:pt idx="821">
                  <c:v>-7.5265249526114246</c:v>
                </c:pt>
                <c:pt idx="822">
                  <c:v>-7.5388570027462247</c:v>
                </c:pt>
                <c:pt idx="823">
                  <c:v>-7.5511890830083033</c:v>
                </c:pt>
                <c:pt idx="824">
                  <c:v>-7.5635211933972499</c:v>
                </c:pt>
                <c:pt idx="825">
                  <c:v>-7.5758533339126561</c:v>
                </c:pt>
                <c:pt idx="826">
                  <c:v>-7.5881855045541116</c:v>
                </c:pt>
                <c:pt idx="827">
                  <c:v>-7.6005177053212067</c:v>
                </c:pt>
                <c:pt idx="828">
                  <c:v>-7.6128499362135322</c:v>
                </c:pt>
                <c:pt idx="829">
                  <c:v>-7.6251821972306786</c:v>
                </c:pt>
                <c:pt idx="830">
                  <c:v>-7.6375144883722363</c:v>
                </c:pt>
                <c:pt idx="831">
                  <c:v>-7.6498468096377952</c:v>
                </c:pt>
                <c:pt idx="832">
                  <c:v>-7.6621791610269456</c:v>
                </c:pt>
                <c:pt idx="833">
                  <c:v>-7.6745115425392783</c:v>
                </c:pt>
                <c:pt idx="834">
                  <c:v>-7.6868439541743836</c:v>
                </c:pt>
                <c:pt idx="835">
                  <c:v>-7.6991763959318522</c:v>
                </c:pt>
                <c:pt idx="836">
                  <c:v>-7.7115088678112746</c:v>
                </c:pt>
                <c:pt idx="837">
                  <c:v>-7.7238413698122415</c:v>
                </c:pt>
                <c:pt idx="838">
                  <c:v>-7.7361739019343423</c:v>
                </c:pt>
                <c:pt idx="839">
                  <c:v>-7.7485064641771677</c:v>
                </c:pt>
                <c:pt idx="840">
                  <c:v>-7.7608390565403091</c:v>
                </c:pt>
                <c:pt idx="841">
                  <c:v>-7.7731716790233563</c:v>
                </c:pt>
                <c:pt idx="842">
                  <c:v>-7.7855043316258996</c:v>
                </c:pt>
                <c:pt idx="843">
                  <c:v>-7.7978370143475297</c:v>
                </c:pt>
                <c:pt idx="844">
                  <c:v>-7.8101697271878363</c:v>
                </c:pt>
                <c:pt idx="845">
                  <c:v>-7.8225024701464108</c:v>
                </c:pt>
                <c:pt idx="846">
                  <c:v>-7.8348352432228436</c:v>
                </c:pt>
                <c:pt idx="847">
                  <c:v>-7.8471680464167246</c:v>
                </c:pt>
                <c:pt idx="848">
                  <c:v>-7.8595008797276442</c:v>
                </c:pt>
                <c:pt idx="849">
                  <c:v>-7.871833743155193</c:v>
                </c:pt>
                <c:pt idx="850">
                  <c:v>-7.8841666366989624</c:v>
                </c:pt>
                <c:pt idx="851">
                  <c:v>-7.8964995603585422</c:v>
                </c:pt>
                <c:pt idx="852">
                  <c:v>-7.9088325141335227</c:v>
                </c:pt>
                <c:pt idx="853">
                  <c:v>-7.9211654980234938</c:v>
                </c:pt>
                <c:pt idx="854">
                  <c:v>-7.9334985120280468</c:v>
                </c:pt>
                <c:pt idx="855">
                  <c:v>-7.9458315561467723</c:v>
                </c:pt>
                <c:pt idx="856">
                  <c:v>-7.9581646303792599</c:v>
                </c:pt>
                <c:pt idx="857">
                  <c:v>-7.9704977347251011</c:v>
                </c:pt>
                <c:pt idx="858">
                  <c:v>-7.9828308691838856</c:v>
                </c:pt>
                <c:pt idx="859">
                  <c:v>-7.9951640337552048</c:v>
                </c:pt>
                <c:pt idx="860">
                  <c:v>-8.0074972284386483</c:v>
                </c:pt>
                <c:pt idx="861">
                  <c:v>-8.0198304532338067</c:v>
                </c:pt>
                <c:pt idx="862">
                  <c:v>-8.0321637081402706</c:v>
                </c:pt>
                <c:pt idx="863">
                  <c:v>-8.0444969931576313</c:v>
                </c:pt>
                <c:pt idx="864">
                  <c:v>-8.0568303082854786</c:v>
                </c:pt>
                <c:pt idx="865">
                  <c:v>-8.0691636535234021</c:v>
                </c:pt>
                <c:pt idx="866">
                  <c:v>-8.0814970288709933</c:v>
                </c:pt>
                <c:pt idx="867">
                  <c:v>-8.0938304343278435</c:v>
                </c:pt>
                <c:pt idx="868">
                  <c:v>-8.1061638698935425</c:v>
                </c:pt>
                <c:pt idx="869">
                  <c:v>-8.1184973355676799</c:v>
                </c:pt>
                <c:pt idx="870">
                  <c:v>-8.1308308313498472</c:v>
                </c:pt>
                <c:pt idx="871">
                  <c:v>-8.1431643572396339</c:v>
                </c:pt>
                <c:pt idx="872">
                  <c:v>-8.1554979132366316</c:v>
                </c:pt>
                <c:pt idx="873">
                  <c:v>-8.16783149934043</c:v>
                </c:pt>
                <c:pt idx="874">
                  <c:v>-8.1801651155506203</c:v>
                </c:pt>
                <c:pt idx="875">
                  <c:v>-8.1924987618667942</c:v>
                </c:pt>
                <c:pt idx="876">
                  <c:v>-8.2048324382885394</c:v>
                </c:pt>
                <c:pt idx="877">
                  <c:v>-8.2171661448154492</c:v>
                </c:pt>
                <c:pt idx="878">
                  <c:v>-8.2294998814471114</c:v>
                </c:pt>
                <c:pt idx="879">
                  <c:v>-8.2418336481831194</c:v>
                </c:pt>
                <c:pt idx="880">
                  <c:v>-8.2541674450230609</c:v>
                </c:pt>
                <c:pt idx="881">
                  <c:v>-8.2665012719665292</c:v>
                </c:pt>
                <c:pt idx="882">
                  <c:v>-8.2788351290131121</c:v>
                </c:pt>
                <c:pt idx="883">
                  <c:v>-8.291169016162403</c:v>
                </c:pt>
                <c:pt idx="884">
                  <c:v>-8.3035029334139896</c:v>
                </c:pt>
                <c:pt idx="885">
                  <c:v>-8.3158368807674652</c:v>
                </c:pt>
                <c:pt idx="886">
                  <c:v>-8.3281708582224176</c:v>
                </c:pt>
                <c:pt idx="887">
                  <c:v>-8.3405048657784402</c:v>
                </c:pt>
                <c:pt idx="888">
                  <c:v>-8.3528389034351207</c:v>
                </c:pt>
                <c:pt idx="889">
                  <c:v>-8.3651729711920524</c:v>
                </c:pt>
                <c:pt idx="890">
                  <c:v>-8.3775070690488231</c:v>
                </c:pt>
                <c:pt idx="891">
                  <c:v>-8.3898411970050262</c:v>
                </c:pt>
                <c:pt idx="892">
                  <c:v>-8.4021753550602511</c:v>
                </c:pt>
                <c:pt idx="893">
                  <c:v>-8.4145095432140877</c:v>
                </c:pt>
                <c:pt idx="894">
                  <c:v>-8.4268437614661273</c:v>
                </c:pt>
                <c:pt idx="895">
                  <c:v>-8.4391780098159597</c:v>
                </c:pt>
                <c:pt idx="896">
                  <c:v>-8.4515122882631761</c:v>
                </c:pt>
                <c:pt idx="897">
                  <c:v>-8.4638465968073664</c:v>
                </c:pt>
                <c:pt idx="898">
                  <c:v>-8.4761809354481219</c:v>
                </c:pt>
                <c:pt idx="899">
                  <c:v>-8.4885153041850341</c:v>
                </c:pt>
                <c:pt idx="900">
                  <c:v>-8.5008497030176908</c:v>
                </c:pt>
                <c:pt idx="901">
                  <c:v>-8.5131841319456854</c:v>
                </c:pt>
                <c:pt idx="902">
                  <c:v>-8.5255185909686073</c:v>
                </c:pt>
                <c:pt idx="903">
                  <c:v>-8.5378530800860464</c:v>
                </c:pt>
                <c:pt idx="904">
                  <c:v>-8.5501875992975958</c:v>
                </c:pt>
                <c:pt idx="905">
                  <c:v>-8.5625221486028433</c:v>
                </c:pt>
                <c:pt idx="906">
                  <c:v>-8.5748567280013805</c:v>
                </c:pt>
                <c:pt idx="907">
                  <c:v>-8.5871913374927988</c:v>
                </c:pt>
                <c:pt idx="908">
                  <c:v>-8.5995259770766879</c:v>
                </c:pt>
                <c:pt idx="909">
                  <c:v>-8.6118606467526391</c:v>
                </c:pt>
                <c:pt idx="910">
                  <c:v>-8.6241953465202421</c:v>
                </c:pt>
                <c:pt idx="911">
                  <c:v>-8.6365300763790884</c:v>
                </c:pt>
                <c:pt idx="912">
                  <c:v>-8.6488648363287677</c:v>
                </c:pt>
                <c:pt idx="913">
                  <c:v>-8.6611996263688713</c:v>
                </c:pt>
                <c:pt idx="914">
                  <c:v>-8.673534446498989</c:v>
                </c:pt>
                <c:pt idx="915">
                  <c:v>-8.6858692967187121</c:v>
                </c:pt>
                <c:pt idx="916">
                  <c:v>-8.6982041770276322</c:v>
                </c:pt>
                <c:pt idx="917">
                  <c:v>-8.7105390874253388</c:v>
                </c:pt>
                <c:pt idx="918">
                  <c:v>-8.7228740279114216</c:v>
                </c:pt>
                <c:pt idx="919">
                  <c:v>-8.7352089984854739</c:v>
                </c:pt>
                <c:pt idx="920">
                  <c:v>-8.7475439991470836</c:v>
                </c:pt>
                <c:pt idx="921">
                  <c:v>-8.7598790298958438</c:v>
                </c:pt>
                <c:pt idx="922">
                  <c:v>-8.7722140907313424</c:v>
                </c:pt>
                <c:pt idx="923">
                  <c:v>-8.7845491816531727</c:v>
                </c:pt>
                <c:pt idx="924">
                  <c:v>-8.7968843026609242</c:v>
                </c:pt>
                <c:pt idx="925">
                  <c:v>-8.8092194537541868</c:v>
                </c:pt>
                <c:pt idx="926">
                  <c:v>-8.8215546349325518</c:v>
                </c:pt>
                <c:pt idx="927">
                  <c:v>-8.8338898461956106</c:v>
                </c:pt>
                <c:pt idx="928">
                  <c:v>-8.8462250875429529</c:v>
                </c:pt>
                <c:pt idx="929">
                  <c:v>-8.8585603589741702</c:v>
                </c:pt>
                <c:pt idx="930">
                  <c:v>-8.870895660488852</c:v>
                </c:pt>
                <c:pt idx="931">
                  <c:v>-8.8832309920865899</c:v>
                </c:pt>
                <c:pt idx="932">
                  <c:v>-8.8955663537669736</c:v>
                </c:pt>
                <c:pt idx="933">
                  <c:v>-8.9079017455295944</c:v>
                </c:pt>
                <c:pt idx="934">
                  <c:v>-8.9202371673740437</c:v>
                </c:pt>
                <c:pt idx="935">
                  <c:v>-8.9325726192999113</c:v>
                </c:pt>
                <c:pt idx="936">
                  <c:v>-8.9449081013067886</c:v>
                </c:pt>
                <c:pt idx="937">
                  <c:v>-8.9572436133942652</c:v>
                </c:pt>
                <c:pt idx="938">
                  <c:v>-8.9695791555619326</c:v>
                </c:pt>
                <c:pt idx="939">
                  <c:v>-8.9819147278093805</c:v>
                </c:pt>
                <c:pt idx="940">
                  <c:v>-8.9942503301362002</c:v>
                </c:pt>
                <c:pt idx="941">
                  <c:v>-9.0065859625419833</c:v>
                </c:pt>
                <c:pt idx="942">
                  <c:v>-9.0189216250263193</c:v>
                </c:pt>
                <c:pt idx="943">
                  <c:v>-9.0312573175887998</c:v>
                </c:pt>
                <c:pt idx="944">
                  <c:v>-9.0435930402290143</c:v>
                </c:pt>
                <c:pt idx="945">
                  <c:v>-9.0559287929465544</c:v>
                </c:pt>
                <c:pt idx="946">
                  <c:v>-9.0682645757410114</c:v>
                </c:pt>
                <c:pt idx="947">
                  <c:v>-9.080600388611975</c:v>
                </c:pt>
                <c:pt idx="948">
                  <c:v>-9.092936231559035</c:v>
                </c:pt>
                <c:pt idx="949">
                  <c:v>-9.1052721045817844</c:v>
                </c:pt>
                <c:pt idx="950">
                  <c:v>-9.1176080076798129</c:v>
                </c:pt>
                <c:pt idx="951">
                  <c:v>-9.1299439408527103</c:v>
                </c:pt>
                <c:pt idx="952">
                  <c:v>-9.142279904100068</c:v>
                </c:pt>
                <c:pt idx="953">
                  <c:v>-9.1546158974214773</c:v>
                </c:pt>
                <c:pt idx="954">
                  <c:v>-9.166951920816528</c:v>
                </c:pt>
                <c:pt idx="955">
                  <c:v>-9.1792879742848115</c:v>
                </c:pt>
                <c:pt idx="956">
                  <c:v>-9.1916240578259174</c:v>
                </c:pt>
                <c:pt idx="957">
                  <c:v>-9.203960171439439</c:v>
                </c:pt>
                <c:pt idx="958">
                  <c:v>-9.2162963151249642</c:v>
                </c:pt>
                <c:pt idx="959">
                  <c:v>-9.2286324888820861</c:v>
                </c:pt>
                <c:pt idx="960">
                  <c:v>-9.2409686927103944</c:v>
                </c:pt>
                <c:pt idx="961">
                  <c:v>-9.2533049266094789</c:v>
                </c:pt>
                <c:pt idx="962">
                  <c:v>-9.2656411905789309</c:v>
                </c:pt>
                <c:pt idx="963">
                  <c:v>-9.2779774846183418</c:v>
                </c:pt>
                <c:pt idx="964">
                  <c:v>-9.2903138087273014</c:v>
                </c:pt>
                <c:pt idx="965">
                  <c:v>-9.302650162905401</c:v>
                </c:pt>
                <c:pt idx="966">
                  <c:v>-9.3149865471522322</c:v>
                </c:pt>
                <c:pt idx="967">
                  <c:v>-9.3273229614673845</c:v>
                </c:pt>
                <c:pt idx="968">
                  <c:v>-9.3396594058504494</c:v>
                </c:pt>
                <c:pt idx="969">
                  <c:v>-9.3519958803010166</c:v>
                </c:pt>
                <c:pt idx="970">
                  <c:v>-9.3643323848186775</c:v>
                </c:pt>
                <c:pt idx="971">
                  <c:v>-9.3766689194030235</c:v>
                </c:pt>
                <c:pt idx="972">
                  <c:v>-9.3890054840536461</c:v>
                </c:pt>
                <c:pt idx="973">
                  <c:v>-9.4013420787701332</c:v>
                </c:pt>
                <c:pt idx="974">
                  <c:v>-9.4136787035520779</c:v>
                </c:pt>
                <c:pt idx="975">
                  <c:v>-9.42601535839907</c:v>
                </c:pt>
                <c:pt idx="976">
                  <c:v>-9.4383520433107009</c:v>
                </c:pt>
                <c:pt idx="977">
                  <c:v>-9.450688758286562</c:v>
                </c:pt>
                <c:pt idx="978">
                  <c:v>-9.4630255033262429</c:v>
                </c:pt>
                <c:pt idx="979">
                  <c:v>-9.4753622784293334</c:v>
                </c:pt>
                <c:pt idx="980">
                  <c:v>-9.4876990835954267</c:v>
                </c:pt>
                <c:pt idx="981">
                  <c:v>-9.5000359188241124</c:v>
                </c:pt>
                <c:pt idx="982">
                  <c:v>-9.5123727841149819</c:v>
                </c:pt>
                <c:pt idx="983">
                  <c:v>-9.5247096794676249</c:v>
                </c:pt>
                <c:pt idx="984">
                  <c:v>-9.5370466048816329</c:v>
                </c:pt>
                <c:pt idx="985">
                  <c:v>-9.5493835603565955</c:v>
                </c:pt>
                <c:pt idx="986">
                  <c:v>-9.561720545892106</c:v>
                </c:pt>
                <c:pt idx="987">
                  <c:v>-9.5740575614877539</c:v>
                </c:pt>
                <c:pt idx="988">
                  <c:v>-9.586394607143129</c:v>
                </c:pt>
                <c:pt idx="989">
                  <c:v>-9.5987316828578226</c:v>
                </c:pt>
                <c:pt idx="990">
                  <c:v>-9.6110687886314263</c:v>
                </c:pt>
                <c:pt idx="991">
                  <c:v>-9.6234059244635315</c:v>
                </c:pt>
                <c:pt idx="992">
                  <c:v>-9.6357430903537278</c:v>
                </c:pt>
                <c:pt idx="993">
                  <c:v>-9.6480802863016066</c:v>
                </c:pt>
                <c:pt idx="994">
                  <c:v>-9.6604175123067577</c:v>
                </c:pt>
                <c:pt idx="995">
                  <c:v>-9.6727547683687725</c:v>
                </c:pt>
                <c:pt idx="996">
                  <c:v>-9.6850920544872423</c:v>
                </c:pt>
                <c:pt idx="997">
                  <c:v>-9.6974293706617569</c:v>
                </c:pt>
                <c:pt idx="998">
                  <c:v>-9.7097667168919077</c:v>
                </c:pt>
                <c:pt idx="999">
                  <c:v>-9.7221040931772862</c:v>
                </c:pt>
                <c:pt idx="1000">
                  <c:v>-9.7344414995174837</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1.4032514260009475E-4</c:v>
                </c:pt>
                <c:pt idx="2">
                  <c:v>1.1854569387982246E-3</c:v>
                </c:pt>
                <c:pt idx="3">
                  <c:v>4.1398669637661128E-3</c:v>
                </c:pt>
                <c:pt idx="4">
                  <c:v>9.3440850464125494E-3</c:v>
                </c:pt>
                <c:pt idx="5">
                  <c:v>1.6718449531440822E-2</c:v>
                </c:pt>
                <c:pt idx="6">
                  <c:v>2.6207431990298818E-2</c:v>
                </c:pt>
                <c:pt idx="7">
                  <c:v>3.7804015051959121E-2</c:v>
                </c:pt>
                <c:pt idx="8">
                  <c:v>5.1525473974548042E-2</c:v>
                </c:pt>
                <c:pt idx="9">
                  <c:v>6.7389095287224393E-2</c:v>
                </c:pt>
                <c:pt idx="10">
                  <c:v>8.5412176538115739E-2</c:v>
                </c:pt>
                <c:pt idx="11">
                  <c:v>0.10560950313653615</c:v>
                </c:pt>
                <c:pt idx="12">
                  <c:v>0.12799081866129311</c:v>
                </c:pt>
                <c:pt idx="13">
                  <c:v>0.15256333784423576</c:v>
                </c:pt>
                <c:pt idx="14">
                  <c:v>0.17933426611544834</c:v>
                </c:pt>
                <c:pt idx="15">
                  <c:v>0.20831079940390504</c:v>
                </c:pt>
                <c:pt idx="16">
                  <c:v>0.23950012393736705</c:v>
                </c:pt>
                <c:pt idx="17">
                  <c:v>0.27290941604153296</c:v>
                </c:pt>
                <c:pt idx="18">
                  <c:v>0.30854584193845369</c:v>
                </c:pt>
                <c:pt idx="19">
                  <c:v>0.34641655754422435</c:v>
                </c:pt>
                <c:pt idx="20">
                  <c:v>0.38652870826596347</c:v>
                </c:pt>
                <c:pt idx="21">
                  <c:v>0.42888841646673564</c:v>
                </c:pt>
                <c:pt idx="22">
                  <c:v>0.47349976634841856</c:v>
                </c:pt>
                <c:pt idx="23">
                  <c:v>0.52036581233519663</c:v>
                </c:pt>
                <c:pt idx="24">
                  <c:v>0.56948959007956934</c:v>
                </c:pt>
                <c:pt idx="25">
                  <c:v>0.62087411634014311</c:v>
                </c:pt>
                <c:pt idx="26">
                  <c:v>0.67452238885991678</c:v>
                </c:pt>
                <c:pt idx="27">
                  <c:v>0.73043738624507215</c:v>
                </c:pt>
                <c:pt idx="28">
                  <c:v>0.78870600636392141</c:v>
                </c:pt>
                <c:pt idx="29">
                  <c:v>0.84941852023812525</c:v>
                </c:pt>
                <c:pt idx="30">
                  <c:v>0.91258458312841828</c:v>
                </c:pt>
                <c:pt idx="31">
                  <c:v>0.97821367762859157</c:v>
                </c:pt>
                <c:pt idx="32">
                  <c:v>1.0463150677898894</c:v>
                </c:pt>
                <c:pt idx="33">
                  <c:v>1.1168978118378972</c:v>
                </c:pt>
                <c:pt idx="34">
                  <c:v>1.1899707736671841</c:v>
                </c:pt>
                <c:pt idx="35">
                  <c:v>1.2655426332640971</c:v>
                </c:pt>
                <c:pt idx="36">
                  <c:v>1.343621896185639</c:v>
                </c:pt>
                <c:pt idx="37">
                  <c:v>1.4242169022038045</c:v>
                </c:pt>
                <c:pt idx="38">
                  <c:v>1.5073358332093483</c:v>
                </c:pt>
                <c:pt idx="39">
                  <c:v>1.5929867204560784</c:v>
                </c:pt>
                <c:pt idx="40">
                  <c:v>1.6811774512159654</c:v>
                </c:pt>
                <c:pt idx="41">
                  <c:v>1.7719149626731134</c:v>
                </c:pt>
                <c:pt idx="42">
                  <c:v>1.86520442885002</c:v>
                </c:pt>
                <c:pt idx="43">
                  <c:v>1.9610500695157906</c:v>
                </c:pt>
                <c:pt idx="44">
                  <c:v>2.0594559655032145</c:v>
                </c:pt>
                <c:pt idx="45">
                  <c:v>2.1604260637810593</c:v>
                </c:pt>
                <c:pt idx="46">
                  <c:v>2.2639641821699894</c:v>
                </c:pt>
                <c:pt idx="47">
                  <c:v>2.3700740137348433</c:v>
                </c:pt>
                <c:pt idx="48">
                  <c:v>2.4787591308823234</c:v>
                </c:pt>
                <c:pt idx="49">
                  <c:v>2.5900229891899875</c:v>
                </c:pt>
                <c:pt idx="50">
                  <c:v>2.7038689309896458</c:v>
                </c:pt>
                <c:pt idx="51">
                  <c:v>2.8203001887258536</c:v>
                </c:pt>
                <c:pt idx="52">
                  <c:v>2.9393198881080624</c:v>
                </c:pt>
                <c:pt idx="53">
                  <c:v>3.0609310510731262</c:v>
                </c:pt>
                <c:pt idx="54">
                  <c:v>3.1851365985732141</c:v>
                </c:pt>
                <c:pt idx="55">
                  <c:v>3.3119393532027286</c:v>
                </c:pt>
                <c:pt idx="56">
                  <c:v>3.4413420416765348</c:v>
                </c:pt>
                <c:pt idx="57">
                  <c:v>3.5733472971706672</c:v>
                </c:pt>
                <c:pt idx="58">
                  <c:v>3.7079576615356591</c:v>
                </c:pt>
                <c:pt idx="59">
                  <c:v>3.8451755873917302</c:v>
                </c:pt>
                <c:pt idx="60">
                  <c:v>3.9850034401142547</c:v>
                </c:pt>
                <c:pt idx="61">
                  <c:v>4.1274434997172076</c:v>
                </c:pt>
                <c:pt idx="62">
                  <c:v>4.2724979626416246</c:v>
                </c:pt>
                <c:pt idx="63">
                  <c:v>4.4201689434555371</c:v>
                </c:pt>
                <c:pt idx="64">
                  <c:v>4.5704584764712912</c:v>
                </c:pt>
                <c:pt idx="65">
                  <c:v>4.7233685172857083</c:v>
                </c:pt>
                <c:pt idx="66">
                  <c:v>4.8789009442480893</c:v>
                </c:pt>
                <c:pt idx="67">
                  <c:v>5.0370575598606813</c:v>
                </c:pt>
                <c:pt idx="68">
                  <c:v>5.1978400921158725</c:v>
                </c:pt>
                <c:pt idx="69">
                  <c:v>5.3612501957740513</c:v>
                </c:pt>
                <c:pt idx="70">
                  <c:v>5.5272894535857766</c:v>
                </c:pt>
                <c:pt idx="71">
                  <c:v>5.6959593774616346</c:v>
                </c:pt>
                <c:pt idx="72">
                  <c:v>5.8672614095929081</c:v>
                </c:pt>
                <c:pt idx="73">
                  <c:v>6.0411969235259759</c:v>
                </c:pt>
                <c:pt idx="74">
                  <c:v>6.2177672251931373</c:v>
                </c:pt>
                <c:pt idx="75">
                  <c:v>6.3969735539023729</c:v>
                </c:pt>
                <c:pt idx="76">
                  <c:v>6.5788170832883948</c:v>
                </c:pt>
                <c:pt idx="77">
                  <c:v>6.7632989222271558</c:v>
                </c:pt>
                <c:pt idx="78">
                  <c:v>6.9504201157158674</c:v>
                </c:pt>
                <c:pt idx="79">
                  <c:v>7.1401816457204212</c:v>
                </c:pt>
                <c:pt idx="80">
                  <c:v>7.3325844319919984</c:v>
                </c:pt>
                <c:pt idx="81">
                  <c:v>7.5276284628306476</c:v>
                </c:pt>
                <c:pt idx="82">
                  <c:v>7.725311921724594</c:v>
                </c:pt>
                <c:pt idx="83">
                  <c:v>7.9256320528536568</c:v>
                </c:pt>
                <c:pt idx="84">
                  <c:v>8.1285860307951108</c:v>
                </c:pt>
                <c:pt idx="85">
                  <c:v>8.3341709614675263</c:v>
                </c:pt>
                <c:pt idx="86">
                  <c:v>8.5423838830470409</c:v>
                </c:pt>
                <c:pt idx="87">
                  <c:v>8.7532217668575125</c:v>
                </c:pt>
                <c:pt idx="88">
                  <c:v>8.9666815182359016</c:v>
                </c:pt>
                <c:pt idx="89">
                  <c:v>9.1827599773741735</c:v>
                </c:pt>
                <c:pt idx="90">
                  <c:v>9.4014539201389002</c:v>
                </c:pt>
                <c:pt idx="91">
                  <c:v>9.6227596709299856</c:v>
                </c:pt>
                <c:pt idx="92">
                  <c:v>9.846672713871861</c:v>
                </c:pt>
                <c:pt idx="93">
                  <c:v>10.073188079438383</c:v>
                </c:pt>
                <c:pt idx="94">
                  <c:v>10.302300732761406</c:v>
                </c:pt>
                <c:pt idx="95">
                  <c:v>10.534005574462499</c:v>
                </c:pt>
                <c:pt idx="96">
                  <c:v>10.768297441466418</c:v>
                </c:pt>
                <c:pt idx="97">
                  <c:v>11.005171107797208</c:v>
                </c:pt>
                <c:pt idx="98">
                  <c:v>11.244621285357757</c:v>
                </c:pt>
                <c:pt idx="99">
                  <c:v>11.486642624693562</c:v>
                </c:pt>
                <c:pt idx="100">
                  <c:v>11.731229715741472</c:v>
                </c:pt>
                <c:pt idx="101">
                  <c:v>11.978377026000373</c:v>
                </c:pt>
                <c:pt idx="102">
                  <c:v>12.228078838448043</c:v>
                </c:pt>
                <c:pt idx="103">
                  <c:v>12.480329314516894</c:v>
                </c:pt>
                <c:pt idx="104">
                  <c:v>12.735122557305521</c:v>
                </c:pt>
                <c:pt idx="105">
                  <c:v>12.992452612278017</c:v>
                </c:pt>
                <c:pt idx="106">
                  <c:v>13.252313467951623</c:v>
                </c:pt>
                <c:pt idx="107">
                  <c:v>13.514699056573248</c:v>
                </c:pt>
                <c:pt idx="108">
                  <c:v>13.779603254785291</c:v>
                </c:pt>
                <c:pt idx="109">
                  <c:v>14.047019884281253</c:v>
                </c:pt>
                <c:pt idx="110">
                  <c:v>14.316942712451533</c:v>
                </c:pt>
                <c:pt idx="111">
                  <c:v>14.589366178772741</c:v>
                </c:pt>
                <c:pt idx="112">
                  <c:v>14.864286123714614</c:v>
                </c:pt>
                <c:pt idx="113">
                  <c:v>15.141699066633974</c:v>
                </c:pt>
                <c:pt idx="114">
                  <c:v>15.421601481049219</c:v>
                </c:pt>
                <c:pt idx="115">
                  <c:v>15.703989795074692</c:v>
                </c:pt>
                <c:pt idx="116">
                  <c:v>15.988860391849263</c:v>
                </c:pt>
                <c:pt idx="117">
                  <c:v>16.276209609959338</c:v>
                </c:pt>
                <c:pt idx="118">
                  <c:v>16.566033743856547</c:v>
                </c:pt>
                <c:pt idx="119">
                  <c:v>16.858329044270292</c:v>
                </c:pt>
                <c:pt idx="120">
                  <c:v>17.153091718615372</c:v>
                </c:pt>
                <c:pt idx="121">
                  <c:v>17.45031671931568</c:v>
                </c:pt>
                <c:pt idx="122">
                  <c:v>17.749996528264987</c:v>
                </c:pt>
                <c:pt idx="123">
                  <c:v>18.052122364818757</c:v>
                </c:pt>
                <c:pt idx="124">
                  <c:v>18.35668539777647</c:v>
                </c:pt>
                <c:pt idx="125">
                  <c:v>18.663676746038586</c:v>
                </c:pt>
                <c:pt idx="126">
                  <c:v>18.973087479256854</c:v>
                </c:pt>
                <c:pt idx="127">
                  <c:v>19.284908618478173</c:v>
                </c:pt>
                <c:pt idx="128">
                  <c:v>19.599131136782219</c:v>
                </c:pt>
                <c:pt idx="129">
                  <c:v>19.915745959913025</c:v>
                </c:pt>
                <c:pt idx="130">
                  <c:v>20.234743966904663</c:v>
                </c:pt>
                <c:pt idx="131">
                  <c:v>20.5561156713378</c:v>
                </c:pt>
                <c:pt idx="132">
                  <c:v>20.879850901677408</c:v>
                </c:pt>
                <c:pt idx="133">
                  <c:v>21.20593912023088</c:v>
                </c:pt>
                <c:pt idx="134">
                  <c:v>21.534369743050672</c:v>
                </c:pt>
                <c:pt idx="135">
                  <c:v>21.865132140605603</c:v>
                </c:pt>
                <c:pt idx="136">
                  <c:v>22.198215638446435</c:v>
                </c:pt>
                <c:pt idx="137">
                  <c:v>22.533609517865848</c:v>
                </c:pt>
                <c:pt idx="138">
                  <c:v>22.871303016552964</c:v>
                </c:pt>
                <c:pt idx="139">
                  <c:v>23.211285329242525</c:v>
                </c:pt>
                <c:pt idx="140">
                  <c:v>23.553545608358831</c:v>
                </c:pt>
                <c:pt idx="141">
                  <c:v>23.898069123204685</c:v>
                </c:pt>
                <c:pt idx="142">
                  <c:v>24.244833409401906</c:v>
                </c:pt>
                <c:pt idx="143">
                  <c:v>24.593812100818138</c:v>
                </c:pt>
                <c:pt idx="144">
                  <c:v>24.944978771737755</c:v>
                </c:pt>
                <c:pt idx="145">
                  <c:v>25.298306938486025</c:v>
                </c:pt>
                <c:pt idx="146">
                  <c:v>25.653770061036042</c:v>
                </c:pt>
                <c:pt idx="147">
                  <c:v>26.011341544598626</c:v>
                </c:pt>
                <c:pt idx="148">
                  <c:v>26.370994741195297</c:v>
                </c:pt>
                <c:pt idx="149">
                  <c:v>26.732702951214513</c:v>
                </c:pt>
                <c:pt idx="150">
                  <c:v>27.096439424951267</c:v>
                </c:pt>
                <c:pt idx="151">
                  <c:v>27.462177364130167</c:v>
                </c:pt>
                <c:pt idx="152">
                  <c:v>27.829889923412114</c:v>
                </c:pt>
                <c:pt idx="153">
                  <c:v>28.199550211884688</c:v>
                </c:pt>
                <c:pt idx="154">
                  <c:v>28.571131294536293</c:v>
                </c:pt>
                <c:pt idx="155">
                  <c:v>28.944606193714215</c:v>
                </c:pt>
                <c:pt idx="156">
                  <c:v>29.319929546375388</c:v>
                </c:pt>
                <c:pt idx="157">
                  <c:v>29.697019228245527</c:v>
                </c:pt>
                <c:pt idx="158">
                  <c:v>30.075774673525835</c:v>
                </c:pt>
                <c:pt idx="159">
                  <c:v>30.456095232102882</c:v>
                </c:pt>
                <c:pt idx="160">
                  <c:v>30.837880179728423</c:v>
                </c:pt>
                <c:pt idx="161">
                  <c:v>31.221005345375765</c:v>
                </c:pt>
                <c:pt idx="162">
                  <c:v>31.605299713465442</c:v>
                </c:pt>
                <c:pt idx="163">
                  <c:v>31.990571044274873</c:v>
                </c:pt>
                <c:pt idx="164">
                  <c:v>32.376631531177495</c:v>
                </c:pt>
                <c:pt idx="165">
                  <c:v>32.763317980017177</c:v>
                </c:pt>
                <c:pt idx="166">
                  <c:v>33.150511992231536</c:v>
                </c:pt>
                <c:pt idx="167">
                  <c:v>33.538100554940911</c:v>
                </c:pt>
                <c:pt idx="168">
                  <c:v>33.925948941411029</c:v>
                </c:pt>
                <c:pt idx="169">
                  <c:v>34.313882551425046</c:v>
                </c:pt>
                <c:pt idx="170">
                  <c:v>34.701681122428518</c:v>
                </c:pt>
                <c:pt idx="171">
                  <c:v>35.089190333136607</c:v>
                </c:pt>
                <c:pt idx="172">
                  <c:v>35.476371623980071</c:v>
                </c:pt>
                <c:pt idx="173">
                  <c:v>35.863225774198256</c:v>
                </c:pt>
                <c:pt idx="174">
                  <c:v>36.249753560461826</c:v>
                </c:pt>
                <c:pt idx="175">
                  <c:v>36.635955756884393</c:v>
                </c:pt>
                <c:pt idx="176">
                  <c:v>37.021833135034058</c:v>
                </c:pt>
                <c:pt idx="177">
                  <c:v>37.407386463944903</c:v>
                </c:pt>
                <c:pt idx="178">
                  <c:v>37.792616510128418</c:v>
                </c:pt>
                <c:pt idx="179">
                  <c:v>38.17752403758486</c:v>
                </c:pt>
                <c:pt idx="180">
                  <c:v>38.562109807814529</c:v>
                </c:pt>
                <c:pt idx="181">
                  <c:v>38.946374579829033</c:v>
                </c:pt>
                <c:pt idx="182">
                  <c:v>39.330319110162421</c:v>
                </c:pt>
                <c:pt idx="183">
                  <c:v>39.713944152882299</c:v>
                </c:pt>
                <c:pt idx="184">
                  <c:v>40.097250459600886</c:v>
                </c:pt>
                <c:pt idx="185">
                  <c:v>40.48023877948598</c:v>
                </c:pt>
                <c:pt idx="186">
                  <c:v>40.86290985927188</c:v>
                </c:pt>
                <c:pt idx="187">
                  <c:v>41.245264443270244</c:v>
                </c:pt>
                <c:pt idx="188">
                  <c:v>41.627303273380882</c:v>
                </c:pt>
                <c:pt idx="189">
                  <c:v>42.009027089102503</c:v>
                </c:pt>
                <c:pt idx="190">
                  <c:v>42.390436627543387</c:v>
                </c:pt>
                <c:pt idx="191">
                  <c:v>42.771532623432002</c:v>
                </c:pt>
                <c:pt idx="192">
                  <c:v>43.152315809127565</c:v>
                </c:pt>
                <c:pt idx="193">
                  <c:v>43.532786914630542</c:v>
                </c:pt>
                <c:pt idx="194">
                  <c:v>43.912946667593083</c:v>
                </c:pt>
                <c:pt idx="195">
                  <c:v>44.292795793329418</c:v>
                </c:pt>
                <c:pt idx="196">
                  <c:v>44.672335014826167</c:v>
                </c:pt>
                <c:pt idx="197">
                  <c:v>45.051565052752629</c:v>
                </c:pt>
                <c:pt idx="198">
                  <c:v>45.430486625470984</c:v>
                </c:pt>
                <c:pt idx="199">
                  <c:v>45.809100449046454</c:v>
                </c:pt>
                <c:pt idx="200">
                  <c:v>46.187407237257389</c:v>
                </c:pt>
                <c:pt idx="201">
                  <c:v>49.953643290129008</c:v>
                </c:pt>
                <c:pt idx="202">
                  <c:v>53.68963432314429</c:v>
                </c:pt>
                <c:pt idx="203">
                  <c:v>57.39607299998103</c:v>
                </c:pt>
                <c:pt idx="204">
                  <c:v>61.073630391382721</c:v>
                </c:pt>
                <c:pt idx="205">
                  <c:v>64.722956894773986</c:v>
                </c:pt>
                <c:pt idx="206">
                  <c:v>68.344683105282868</c:v>
                </c:pt>
                <c:pt idx="207">
                  <c:v>71.939420641238101</c:v>
                </c:pt>
                <c:pt idx="208">
                  <c:v>75.507762926984825</c:v>
                </c:pt>
                <c:pt idx="209">
                  <c:v>79.050285935656305</c:v>
                </c:pt>
                <c:pt idx="210">
                  <c:v>82.567548894350011</c:v>
                </c:pt>
                <c:pt idx="211">
                  <c:v>86.060094953982855</c:v>
                </c:pt>
                <c:pt idx="212">
                  <c:v>89.528451825940522</c:v>
                </c:pt>
                <c:pt idx="213">
                  <c:v>92.973132387489059</c:v>
                </c:pt>
                <c:pt idx="214">
                  <c:v>96.394635257781275</c:v>
                </c:pt>
                <c:pt idx="215">
                  <c:v>99.79344534616574</c:v>
                </c:pt>
                <c:pt idx="216">
                  <c:v>103.17003437439111</c:v>
                </c:pt>
                <c:pt idx="217">
                  <c:v>106.52486137419193</c:v>
                </c:pt>
                <c:pt idx="218">
                  <c:v>109.85837316164391</c:v>
                </c:pt>
                <c:pt idx="219">
                  <c:v>113.17100478958569</c:v>
                </c:pt>
                <c:pt idx="220">
                  <c:v>116.46317997931985</c:v>
                </c:pt>
                <c:pt idx="221">
                  <c:v>119.73531153272813</c:v>
                </c:pt>
                <c:pt idx="222">
                  <c:v>122.98780172586336</c:v>
                </c:pt>
                <c:pt idx="223">
                  <c:v>126.2210426850135</c:v>
                </c:pt>
                <c:pt idx="224">
                  <c:v>129.43541674617114</c:v>
                </c:pt>
                <c:pt idx="225">
                  <c:v>132.63129679878369</c:v>
                </c:pt>
                <c:pt idx="226">
                  <c:v>135.80904661460588</c:v>
                </c:pt>
                <c:pt idx="227">
                  <c:v>138.96902116242589</c:v>
                </c:pt>
                <c:pt idx="228">
                  <c:v>142.11156690939032</c:v>
                </c:pt>
                <c:pt idx="229">
                  <c:v>145.23702210960909</c:v>
                </c:pt>
                <c:pt idx="230">
                  <c:v>148.34571708068145</c:v>
                </c:pt>
                <c:pt idx="231">
                  <c:v>151.43797446874643</c:v>
                </c:pt>
                <c:pt idx="232">
                  <c:v>154.51410950262536</c:v>
                </c:pt>
                <c:pt idx="233">
                  <c:v>157.57443023759188</c:v>
                </c:pt>
                <c:pt idx="234">
                  <c:v>160.61923778927348</c:v>
                </c:pt>
                <c:pt idx="235">
                  <c:v>163.64882655815998</c:v>
                </c:pt>
                <c:pt idx="236">
                  <c:v>166.66348444516777</c:v>
                </c:pt>
                <c:pt idx="237">
                  <c:v>169.66349305868277</c:v>
                </c:pt>
                <c:pt idx="238">
                  <c:v>172.649127913482</c:v>
                </c:pt>
                <c:pt idx="239">
                  <c:v>175.6206586219111</c:v>
                </c:pt>
                <c:pt idx="240">
                  <c:v>178.57834907767469</c:v>
                </c:pt>
                <c:pt idx="241">
                  <c:v>181.5224576325765</c:v>
                </c:pt>
                <c:pt idx="242">
                  <c:v>184.45323726652825</c:v>
                </c:pt>
                <c:pt idx="243">
                  <c:v>187.3709357511288</c:v>
                </c:pt>
                <c:pt idx="244">
                  <c:v>190.27579580709894</c:v>
                </c:pt>
                <c:pt idx="245">
                  <c:v>193.16805525584206</c:v>
                </c:pt>
                <c:pt idx="246">
                  <c:v>196.04794716538615</c:v>
                </c:pt>
                <c:pt idx="247">
                  <c:v>198.91569999094946</c:v>
                </c:pt>
                <c:pt idx="248">
                  <c:v>201.77153771035935</c:v>
                </c:pt>
                <c:pt idx="249">
                  <c:v>204.61567995454146</c:v>
                </c:pt>
                <c:pt idx="250">
                  <c:v>207.44834213328508</c:v>
                </c:pt>
                <c:pt idx="251">
                  <c:v>210.26973555648021</c:v>
                </c:pt>
                <c:pt idx="252">
                  <c:v>213.08006755101087</c:v>
                </c:pt>
                <c:pt idx="253">
                  <c:v>215.8795415734804</c:v>
                </c:pt>
                <c:pt idx="254">
                  <c:v>218.66835731893445</c:v>
                </c:pt>
                <c:pt idx="255">
                  <c:v>221.44671082573976</c:v>
                </c:pt>
                <c:pt idx="256">
                  <c:v>224.21479457676725</c:v>
                </c:pt>
                <c:pt idx="257">
                  <c:v>226.97279759702147</c:v>
                </c:pt>
                <c:pt idx="258">
                  <c:v>229.72090554785004</c:v>
                </c:pt>
                <c:pt idx="259">
                  <c:v>232.45930081785994</c:v>
                </c:pt>
                <c:pt idx="260">
                  <c:v>235.18816261066081</c:v>
                </c:pt>
                <c:pt idx="261">
                  <c:v>237.90766702954863</c:v>
                </c:pt>
                <c:pt idx="262">
                  <c:v>240.61798715923723</c:v>
                </c:pt>
                <c:pt idx="263">
                  <c:v>243.31929314473913</c:v>
                </c:pt>
                <c:pt idx="264">
                  <c:v>246.01175226749098</c:v>
                </c:pt>
                <c:pt idx="265">
                  <c:v>248.69552901881411</c:v>
                </c:pt>
                <c:pt idx="266">
                  <c:v>251.37078517079479</c:v>
                </c:pt>
                <c:pt idx="267">
                  <c:v>254.03767984466367</c:v>
                </c:pt>
                <c:pt idx="268">
                  <c:v>256.69636957674936</c:v>
                </c:pt>
                <c:pt idx="269">
                  <c:v>259.34700838207573</c:v>
                </c:pt>
                <c:pt idx="270">
                  <c:v>261.98974781566773</c:v>
                </c:pt>
                <c:pt idx="271">
                  <c:v>264.6247370316263</c:v>
                </c:pt>
                <c:pt idx="272">
                  <c:v>267.25212284002822</c:v>
                </c:pt>
                <c:pt idx="273">
                  <c:v>269.87204976170165</c:v>
                </c:pt>
                <c:pt idx="274">
                  <c:v>272.48466008092487</c:v>
                </c:pt>
                <c:pt idx="275">
                  <c:v>275.09009389608963</c:v>
                </c:pt>
                <c:pt idx="276">
                  <c:v>277.68848916836788</c:v>
                </c:pt>
                <c:pt idx="277">
                  <c:v>280.27998176841476</c:v>
                </c:pt>
                <c:pt idx="278">
                  <c:v>282.86470552113684</c:v>
                </c:pt>
                <c:pt idx="279">
                  <c:v>285.4427922485504</c:v>
                </c:pt>
                <c:pt idx="280">
                  <c:v>288.01437181074897</c:v>
                </c:pt>
                <c:pt idx="281">
                  <c:v>290.57957214499595</c:v>
                </c:pt>
                <c:pt idx="282">
                  <c:v>293.13851930295192</c:v>
                </c:pt>
                <c:pt idx="283">
                  <c:v>295.69133748604253</c:v>
                </c:pt>
                <c:pt idx="284">
                  <c:v>298.2381490789669</c:v>
                </c:pt>
                <c:pt idx="285">
                  <c:v>300.77907468134134</c:v>
                </c:pt>
                <c:pt idx="286">
                  <c:v>303.31423313746836</c:v>
                </c:pt>
                <c:pt idx="287">
                  <c:v>305.84374156421381</c:v>
                </c:pt>
                <c:pt idx="288">
                  <c:v>308.36771537697035</c:v>
                </c:pt>
                <c:pt idx="289">
                  <c:v>310.88626831367822</c:v>
                </c:pt>
                <c:pt idx="290">
                  <c:v>313.39951245686785</c:v>
                </c:pt>
                <c:pt idx="291">
                  <c:v>315.9075582536824</c:v>
                </c:pt>
                <c:pt idx="292">
                  <c:v>318.41051453382943</c:v>
                </c:pt>
                <c:pt idx="293">
                  <c:v>320.90848852540512</c:v>
                </c:pt>
                <c:pt idx="294">
                  <c:v>323.40158586852471</c:v>
                </c:pt>
                <c:pt idx="295">
                  <c:v>325.88991062668418</c:v>
                </c:pt>
                <c:pt idx="296">
                  <c:v>328.37356529577045</c:v>
                </c:pt>
                <c:pt idx="297">
                  <c:v>330.85265081062596</c:v>
                </c:pt>
                <c:pt idx="298">
                  <c:v>333.32726654906469</c:v>
                </c:pt>
                <c:pt idx="299">
                  <c:v>335.7975103332256</c:v>
                </c:pt>
                <c:pt idx="300">
                  <c:v>338.26347842813885</c:v>
                </c:pt>
                <c:pt idx="301">
                  <c:v>340.72526553736867</c:v>
                </c:pt>
                <c:pt idx="302">
                  <c:v>343.18296479558546</c:v>
                </c:pt>
                <c:pt idx="303">
                  <c:v>345.63666775790836</c:v>
                </c:pt>
                <c:pt idx="304">
                  <c:v>348.08646438584742</c:v>
                </c:pt>
                <c:pt idx="305">
                  <c:v>350.53244302966425</c:v>
                </c:pt>
                <c:pt idx="306">
                  <c:v>352.97469040695887</c:v>
                </c:pt>
                <c:pt idx="307">
                  <c:v>355.41329157728177</c:v>
                </c:pt>
                <c:pt idx="308">
                  <c:v>357.84832991256138</c:v>
                </c:pt>
                <c:pt idx="309">
                  <c:v>360.27988706313312</c:v>
                </c:pt>
                <c:pt idx="310">
                  <c:v>362.70804291915249</c:v>
                </c:pt>
                <c:pt idx="311">
                  <c:v>365.13287556717682</c:v>
                </c:pt>
                <c:pt idx="312">
                  <c:v>367.55446124170669</c:v>
                </c:pt>
                <c:pt idx="313">
                  <c:v>369.97287427149166</c:v>
                </c:pt>
                <c:pt idx="314">
                  <c:v>372.3881870204259</c:v>
                </c:pt>
                <c:pt idx="315">
                  <c:v>374.80046982289053</c:v>
                </c:pt>
                <c:pt idx="316">
                  <c:v>377.20979091344225</c:v>
                </c:pt>
                <c:pt idx="317">
                  <c:v>379.61621635080508</c:v>
                </c:pt>
                <c:pt idx="318">
                  <c:v>382.01980993619424</c:v>
                </c:pt>
                <c:pt idx="319">
                  <c:v>384.42063312609213</c:v>
                </c:pt>
                <c:pt idx="320">
                  <c:v>386.81874493970764</c:v>
                </c:pt>
                <c:pt idx="321">
                  <c:v>389.21420186148038</c:v>
                </c:pt>
                <c:pt idx="322">
                  <c:v>391.60705773914646</c:v>
                </c:pt>
                <c:pt idx="323">
                  <c:v>393.99736367805593</c:v>
                </c:pt>
                <c:pt idx="324">
                  <c:v>396.38516793262505</c:v>
                </c:pt>
                <c:pt idx="325">
                  <c:v>398.77051579601499</c:v>
                </c:pt>
                <c:pt idx="326">
                  <c:v>401.15344948934433</c:v>
                </c:pt>
                <c:pt idx="327">
                  <c:v>403.53400805195719</c:v>
                </c:pt>
                <c:pt idx="328">
                  <c:v>405.91222723447271</c:v>
                </c:pt>
                <c:pt idx="329">
                  <c:v>408.28813939651735</c:v>
                </c:pt>
                <c:pt idx="330">
                  <c:v>410.66177341117674</c:v>
                </c:pt>
                <c:pt idx="331">
                  <c:v>413.03315457828205</c:v>
                </c:pt>
                <c:pt idx="332">
                  <c:v>415.40230454865116</c:v>
                </c:pt>
                <c:pt idx="333">
                  <c:v>417.76924126132712</c:v>
                </c:pt>
                <c:pt idx="334">
                  <c:v>420.1339788956879</c:v>
                </c:pt>
                <c:pt idx="335">
                  <c:v>422.4965278400399</c:v>
                </c:pt>
                <c:pt idx="336">
                  <c:v>424.85689467796237</c:v>
                </c:pt>
                <c:pt idx="337">
                  <c:v>427.21508219325358</c:v>
                </c:pt>
                <c:pt idx="338">
                  <c:v>429.57108939386245</c:v>
                </c:pt>
                <c:pt idx="339">
                  <c:v>431.92491155470037</c:v>
                </c:pt>
                <c:pt idx="340">
                  <c:v>434.27654027874308</c:v>
                </c:pt>
                <c:pt idx="341">
                  <c:v>436.62596357538195</c:v>
                </c:pt>
                <c:pt idx="342">
                  <c:v>438.97316595459102</c:v>
                </c:pt>
                <c:pt idx="343">
                  <c:v>441.31812853516192</c:v>
                </c:pt>
                <c:pt idx="344">
                  <c:v>443.66082916503166</c:v>
                </c:pt>
                <c:pt idx="345">
                  <c:v>446.0012425515975</c:v>
                </c:pt>
                <c:pt idx="346">
                  <c:v>448.33934039986877</c:v>
                </c:pt>
                <c:pt idx="347">
                  <c:v>450.67509155634542</c:v>
                </c:pt>
                <c:pt idx="348">
                  <c:v>453.00846215661795</c:v>
                </c:pt>
                <c:pt idx="349">
                  <c:v>455.33941577484262</c:v>
                </c:pt>
                <c:pt idx="350">
                  <c:v>457.66791357343931</c:v>
                </c:pt>
                <c:pt idx="351">
                  <c:v>459.99391445157443</c:v>
                </c:pt>
                <c:pt idx="352">
                  <c:v>462.3173751912143</c:v>
                </c:pt>
                <c:pt idx="353">
                  <c:v>464.63825059975306</c:v>
                </c:pt>
                <c:pt idx="354">
                  <c:v>466.9564936484274</c:v>
                </c:pt>
                <c:pt idx="355">
                  <c:v>469.27205560592012</c:v>
                </c:pt>
                <c:pt idx="356">
                  <c:v>471.58488616672554</c:v>
                </c:pt>
                <c:pt idx="357">
                  <c:v>473.89493357399624</c:v>
                </c:pt>
                <c:pt idx="358">
                  <c:v>476.2021447367166</c:v>
                </c:pt>
                <c:pt idx="359">
                  <c:v>478.50646534115293</c:v>
                </c:pt>
                <c:pt idx="360">
                  <c:v>480.80783995661329</c:v>
                </c:pt>
                <c:pt idx="361">
                  <c:v>483.10621213561745</c:v>
                </c:pt>
                <c:pt idx="362">
                  <c:v>485.40152450862786</c:v>
                </c:pt>
                <c:pt idx="363">
                  <c:v>487.69371887353066</c:v>
                </c:pt>
                <c:pt idx="364">
                  <c:v>489.98273628008189</c:v>
                </c:pt>
                <c:pt idx="365">
                  <c:v>492.26851710955088</c:v>
                </c:pt>
                <c:pt idx="366">
                  <c:v>494.55100114980371</c:v>
                </c:pt>
                <c:pt idx="367">
                  <c:v>496.8301276660722</c:v>
                </c:pt>
                <c:pt idx="368">
                  <c:v>499.10583546765372</c:v>
                </c:pt>
                <c:pt idx="369">
                  <c:v>501.37806297078203</c:v>
                </c:pt>
                <c:pt idx="370">
                  <c:v>503.64674825790337</c:v>
                </c:pt>
                <c:pt idx="371">
                  <c:v>505.91182913358176</c:v>
                </c:pt>
                <c:pt idx="372">
                  <c:v>508.17324317724831</c:v>
                </c:pt>
                <c:pt idx="373">
                  <c:v>510.43092779299786</c:v>
                </c:pt>
                <c:pt idx="374">
                  <c:v>512.68482025662468</c:v>
                </c:pt>
                <c:pt idx="375">
                  <c:v>514.93485776007765</c:v>
                </c:pt>
                <c:pt idx="376">
                  <c:v>517.18097745350474</c:v>
                </c:pt>
                <c:pt idx="377">
                  <c:v>519.42311648504301</c:v>
                </c:pt>
                <c:pt idx="378">
                  <c:v>521.66121203850309</c:v>
                </c:pt>
                <c:pt idx="379">
                  <c:v>523.895201369083</c:v>
                </c:pt>
                <c:pt idx="380">
                  <c:v>526.12502183723939</c:v>
                </c:pt>
                <c:pt idx="381">
                  <c:v>528.35061094083369</c:v>
                </c:pt>
                <c:pt idx="382">
                  <c:v>530.571906345662</c:v>
                </c:pt>
                <c:pt idx="383">
                  <c:v>532.78884591446888</c:v>
                </c:pt>
                <c:pt idx="384">
                  <c:v>535.00136773453971</c:v>
                </c:pt>
                <c:pt idx="385">
                  <c:v>537.20941014395623</c:v>
                </c:pt>
                <c:pt idx="386">
                  <c:v>539.41291175659615</c:v>
                </c:pt>
                <c:pt idx="387">
                  <c:v>541.61181148594937</c:v>
                </c:pt>
                <c:pt idx="388">
                  <c:v>543.80604856781918</c:v>
                </c:pt>
                <c:pt idx="389">
                  <c:v>545.99556258197163</c:v>
                </c:pt>
                <c:pt idx="390">
                  <c:v>548.18029347279014</c:v>
                </c:pt>
                <c:pt idx="391">
                  <c:v>550.36018156898956</c:v>
                </c:pt>
                <c:pt idx="392">
                  <c:v>552.5351676024394</c:v>
                </c:pt>
                <c:pt idx="393">
                  <c:v>554.70519272614115</c:v>
                </c:pt>
                <c:pt idx="394">
                  <c:v>556.87019853140293</c:v>
                </c:pt>
                <c:pt idx="395">
                  <c:v>559.03012706425091</c:v>
                </c:pt>
                <c:pt idx="396">
                  <c:v>561.18492084111244</c:v>
                </c:pt>
                <c:pt idx="397">
                  <c:v>563.33452286380646</c:v>
                </c:pt>
                <c:pt idx="398">
                  <c:v>565.47887663387121</c:v>
                </c:pt>
                <c:pt idx="399">
                  <c:v>567.61792616625848</c:v>
                </c:pt>
                <c:pt idx="400">
                  <c:v>569.75161600242154</c:v>
                </c:pt>
                <c:pt idx="401">
                  <c:v>571.87989122282204</c:v>
                </c:pt>
                <c:pt idx="402">
                  <c:v>574.00269745887874</c:v>
                </c:pt>
                <c:pt idx="403">
                  <c:v>576.11998090438033</c:v>
                </c:pt>
                <c:pt idx="404">
                  <c:v>578.23168832638169</c:v>
                </c:pt>
                <c:pt idx="405">
                  <c:v>580.33776707560423</c:v>
                </c:pt>
                <c:pt idx="406">
                  <c:v>582.43816509635633</c:v>
                </c:pt>
                <c:pt idx="407">
                  <c:v>584.53283093599111</c:v>
                </c:pt>
                <c:pt idx="408">
                  <c:v>586.62171375391767</c:v>
                </c:pt>
                <c:pt idx="409">
                  <c:v>588.70476333017928</c:v>
                </c:pt>
                <c:pt idx="410">
                  <c:v>590.7819300736129</c:v>
                </c:pt>
                <c:pt idx="411">
                  <c:v>592.85316502960302</c:v>
                </c:pt>
                <c:pt idx="412">
                  <c:v>594.9184198874417</c:v>
                </c:pt>
                <c:pt idx="413">
                  <c:v>596.97764698730623</c:v>
                </c:pt>
                <c:pt idx="414">
                  <c:v>599.03079932686546</c:v>
                </c:pt>
                <c:pt idx="415">
                  <c:v>601.07783056752487</c:v>
                </c:pt>
                <c:pt idx="416">
                  <c:v>603.11869504032052</c:v>
                </c:pt>
                <c:pt idx="417">
                  <c:v>605.15334775147073</c:v>
                </c:pt>
                <c:pt idx="418">
                  <c:v>607.18174438759434</c:v>
                </c:pt>
                <c:pt idx="419">
                  <c:v>609.20384132060406</c:v>
                </c:pt>
                <c:pt idx="420">
                  <c:v>611.21959561228277</c:v>
                </c:pt>
                <c:pt idx="421">
                  <c:v>613.22896501855109</c:v>
                </c:pt>
                <c:pt idx="422">
                  <c:v>615.2319079934324</c:v>
                </c:pt>
                <c:pt idx="423">
                  <c:v>617.22838369272313</c:v>
                </c:pt>
                <c:pt idx="424">
                  <c:v>619.21835197737505</c:v>
                </c:pt>
                <c:pt idx="425">
                  <c:v>621.20177341659621</c:v>
                </c:pt>
                <c:pt idx="426">
                  <c:v>623.17860929067581</c:v>
                </c:pt>
                <c:pt idx="427">
                  <c:v>625.14882159354079</c:v>
                </c:pt>
                <c:pt idx="428">
                  <c:v>627.11237303504856</c:v>
                </c:pt>
                <c:pt idx="429">
                  <c:v>629.06922704302178</c:v>
                </c:pt>
                <c:pt idx="430">
                  <c:v>631.01934776503185</c:v>
                </c:pt>
                <c:pt idx="431">
                  <c:v>632.96270006993484</c:v>
                </c:pt>
                <c:pt idx="432">
                  <c:v>634.89924954916671</c:v>
                </c:pt>
                <c:pt idx="433">
                  <c:v>636.8289625178013</c:v>
                </c:pt>
                <c:pt idx="434">
                  <c:v>638.7518060153775</c:v>
                </c:pt>
                <c:pt idx="435">
                  <c:v>640.66774780649973</c:v>
                </c:pt>
                <c:pt idx="436">
                  <c:v>642.57675638121657</c:v>
                </c:pt>
                <c:pt idx="437">
                  <c:v>644.47880095518246</c:v>
                </c:pt>
                <c:pt idx="438">
                  <c:v>646.37385146960651</c:v>
                </c:pt>
                <c:pt idx="439">
                  <c:v>648.26187859099377</c:v>
                </c:pt>
                <c:pt idx="440">
                  <c:v>650.1428537106824</c:v>
                </c:pt>
                <c:pt idx="441">
                  <c:v>652.01674894418204</c:v>
                </c:pt>
                <c:pt idx="442">
                  <c:v>653.88353713031711</c:v>
                </c:pt>
                <c:pt idx="443">
                  <c:v>655.74319183017883</c:v>
                </c:pt>
                <c:pt idx="444">
                  <c:v>657.59568732589162</c:v>
                </c:pt>
                <c:pt idx="445">
                  <c:v>659.44099861919597</c:v>
                </c:pt>
                <c:pt idx="446">
                  <c:v>661.27910142985365</c:v>
                </c:pt>
                <c:pt idx="447">
                  <c:v>663.10997219387821</c:v>
                </c:pt>
                <c:pt idx="448">
                  <c:v>664.93358806159483</c:v>
                </c:pt>
                <c:pt idx="449">
                  <c:v>666.74992689553392</c:v>
                </c:pt>
                <c:pt idx="450">
                  <c:v>668.55896726816172</c:v>
                </c:pt>
                <c:pt idx="451">
                  <c:v>670.36068845945249</c:v>
                </c:pt>
                <c:pt idx="452">
                  <c:v>672.15507045430502</c:v>
                </c:pt>
                <c:pt idx="453">
                  <c:v>673.94209393980827</c:v>
                </c:pt>
                <c:pt idx="454">
                  <c:v>675.72174030235942</c:v>
                </c:pt>
                <c:pt idx="455">
                  <c:v>677.49399162463749</c:v>
                </c:pt>
                <c:pt idx="456">
                  <c:v>679.25883068243729</c:v>
                </c:pt>
                <c:pt idx="457">
                  <c:v>681.01624094136662</c:v>
                </c:pt>
                <c:pt idx="458">
                  <c:v>682.76620655340992</c:v>
                </c:pt>
                <c:pt idx="459">
                  <c:v>684.50871235336297</c:v>
                </c:pt>
                <c:pt idx="460">
                  <c:v>686.24374385514125</c:v>
                </c:pt>
                <c:pt idx="461">
                  <c:v>687.97128724796585</c:v>
                </c:pt>
                <c:pt idx="462">
                  <c:v>689.69132939243048</c:v>
                </c:pt>
                <c:pt idx="463">
                  <c:v>691.40385781645261</c:v>
                </c:pt>
                <c:pt idx="464">
                  <c:v>693.10886071111258</c:v>
                </c:pt>
                <c:pt idx="465">
                  <c:v>694.80632692638358</c:v>
                </c:pt>
                <c:pt idx="466">
                  <c:v>696.49624596675631</c:v>
                </c:pt>
                <c:pt idx="467">
                  <c:v>698.17860798676145</c:v>
                </c:pt>
                <c:pt idx="468">
                  <c:v>699.85340378639307</c:v>
                </c:pt>
                <c:pt idx="469">
                  <c:v>701.5206248064361</c:v>
                </c:pt>
                <c:pt idx="470">
                  <c:v>703.18026312370148</c:v>
                </c:pt>
                <c:pt idx="471">
                  <c:v>704.8323114461723</c:v>
                </c:pt>
                <c:pt idx="472">
                  <c:v>706.4767631080631</c:v>
                </c:pt>
                <c:pt idx="473">
                  <c:v>708.11361206479671</c:v>
                </c:pt>
                <c:pt idx="474">
                  <c:v>709.74285288790054</c:v>
                </c:pt>
                <c:pt idx="475">
                  <c:v>711.36448075982639</c:v>
                </c:pt>
                <c:pt idx="476">
                  <c:v>712.97849146869612</c:v>
                </c:pt>
                <c:pt idx="477">
                  <c:v>714.58488140297641</c:v>
                </c:pt>
                <c:pt idx="478">
                  <c:v>716.18364754608547</c:v>
                </c:pt>
                <c:pt idx="479">
                  <c:v>717.77478747093494</c:v>
                </c:pt>
                <c:pt idx="480">
                  <c:v>719.35829933440914</c:v>
                </c:pt>
                <c:pt idx="481">
                  <c:v>720.93418187178543</c:v>
                </c:pt>
                <c:pt idx="482">
                  <c:v>722.50243439109784</c:v>
                </c:pt>
                <c:pt idx="483">
                  <c:v>724.06305676744671</c:v>
                </c:pt>
                <c:pt idx="484">
                  <c:v>725.61604943725797</c:v>
                </c:pt>
                <c:pt idx="485">
                  <c:v>727.1614133924935</c:v>
                </c:pt>
                <c:pt idx="486">
                  <c:v>728.69915017481594</c:v>
                </c:pt>
                <c:pt idx="487">
                  <c:v>730.22926186971074</c:v>
                </c:pt>
                <c:pt idx="488">
                  <c:v>731.75175110056784</c:v>
                </c:pt>
                <c:pt idx="489">
                  <c:v>733.26662102272508</c:v>
                </c:pt>
                <c:pt idx="490">
                  <c:v>734.77387531747661</c:v>
                </c:pt>
                <c:pt idx="491">
                  <c:v>736.2735181860487</c:v>
                </c:pt>
                <c:pt idx="492">
                  <c:v>737.76555434354441</c:v>
                </c:pt>
                <c:pt idx="493">
                  <c:v>739.24998901286108</c:v>
                </c:pt>
                <c:pt idx="494">
                  <c:v>740.72682791858165</c:v>
                </c:pt>
                <c:pt idx="495">
                  <c:v>742.19607728084293</c:v>
                </c:pt>
                <c:pt idx="496">
                  <c:v>743.65774380918288</c:v>
                </c:pt>
                <c:pt idx="497">
                  <c:v>745.1118346963691</c:v>
                </c:pt>
                <c:pt idx="498">
                  <c:v>746.55835761221078</c:v>
                </c:pt>
                <c:pt idx="499">
                  <c:v>747.99732069735626</c:v>
                </c:pt>
                <c:pt idx="500">
                  <c:v>749.42873255707855</c:v>
                </c:pt>
                <c:pt idx="501">
                  <c:v>750.85260225505067</c:v>
                </c:pt>
                <c:pt idx="502">
                  <c:v>752.26893930711276</c:v>
                </c:pt>
                <c:pt idx="503">
                  <c:v>753.67775367503327</c:v>
                </c:pt>
                <c:pt idx="504">
                  <c:v>755.07905576026621</c:v>
                </c:pt>
                <c:pt idx="505">
                  <c:v>756.47285639770621</c:v>
                </c:pt>
                <c:pt idx="506">
                  <c:v>757.85916684944311</c:v>
                </c:pt>
                <c:pt idx="507">
                  <c:v>759.23799879851856</c:v>
                </c:pt>
                <c:pt idx="508">
                  <c:v>760.60936434268592</c:v>
                </c:pt>
                <c:pt idx="509">
                  <c:v>761.97327598817537</c:v>
                </c:pt>
                <c:pt idx="510">
                  <c:v>763.32974664346591</c:v>
                </c:pt>
                <c:pt idx="511">
                  <c:v>764.67878961306644</c:v>
                </c:pt>
                <c:pt idx="512">
                  <c:v>764.67878961306644</c:v>
                </c:pt>
                <c:pt idx="513">
                  <c:v>764.67878961306644</c:v>
                </c:pt>
                <c:pt idx="514">
                  <c:v>764.67878961306644</c:v>
                </c:pt>
                <c:pt idx="515">
                  <c:v>764.67878961306644</c:v>
                </c:pt>
                <c:pt idx="516">
                  <c:v>764.67878961306644</c:v>
                </c:pt>
                <c:pt idx="517">
                  <c:v>764.67878961306644</c:v>
                </c:pt>
                <c:pt idx="518">
                  <c:v>764.67878961306644</c:v>
                </c:pt>
                <c:pt idx="519">
                  <c:v>764.67878961306644</c:v>
                </c:pt>
                <c:pt idx="520">
                  <c:v>764.67878961306644</c:v>
                </c:pt>
                <c:pt idx="521">
                  <c:v>764.67878961306644</c:v>
                </c:pt>
                <c:pt idx="522">
                  <c:v>764.67878961306644</c:v>
                </c:pt>
                <c:pt idx="523">
                  <c:v>764.67878961306644</c:v>
                </c:pt>
                <c:pt idx="524">
                  <c:v>764.67878961306644</c:v>
                </c:pt>
                <c:pt idx="525">
                  <c:v>764.67878961306644</c:v>
                </c:pt>
                <c:pt idx="526">
                  <c:v>764.67878961306644</c:v>
                </c:pt>
                <c:pt idx="527">
                  <c:v>764.67878961306644</c:v>
                </c:pt>
                <c:pt idx="528">
                  <c:v>764.67878961306644</c:v>
                </c:pt>
                <c:pt idx="529">
                  <c:v>764.67878961306644</c:v>
                </c:pt>
                <c:pt idx="530">
                  <c:v>764.67878961306644</c:v>
                </c:pt>
                <c:pt idx="531">
                  <c:v>764.67878961306644</c:v>
                </c:pt>
                <c:pt idx="532">
                  <c:v>764.67878961306644</c:v>
                </c:pt>
                <c:pt idx="533">
                  <c:v>764.67878961306644</c:v>
                </c:pt>
                <c:pt idx="534">
                  <c:v>764.67878961306644</c:v>
                </c:pt>
                <c:pt idx="535">
                  <c:v>764.67878961306644</c:v>
                </c:pt>
                <c:pt idx="536">
                  <c:v>764.67878961306644</c:v>
                </c:pt>
                <c:pt idx="537">
                  <c:v>764.67878961306644</c:v>
                </c:pt>
                <c:pt idx="538">
                  <c:v>764.67878961306644</c:v>
                </c:pt>
                <c:pt idx="539">
                  <c:v>764.67878961306644</c:v>
                </c:pt>
                <c:pt idx="540">
                  <c:v>764.67878961306644</c:v>
                </c:pt>
                <c:pt idx="541">
                  <c:v>764.67878961306644</c:v>
                </c:pt>
                <c:pt idx="542">
                  <c:v>764.67878961306644</c:v>
                </c:pt>
                <c:pt idx="543">
                  <c:v>764.67878961306644</c:v>
                </c:pt>
                <c:pt idx="544">
                  <c:v>764.67878961306644</c:v>
                </c:pt>
                <c:pt idx="545">
                  <c:v>764.67878961306644</c:v>
                </c:pt>
                <c:pt idx="546">
                  <c:v>764.67878961306644</c:v>
                </c:pt>
                <c:pt idx="547">
                  <c:v>764.67878961306644</c:v>
                </c:pt>
                <c:pt idx="548">
                  <c:v>764.67878961306644</c:v>
                </c:pt>
                <c:pt idx="549">
                  <c:v>764.67878961306644</c:v>
                </c:pt>
                <c:pt idx="550">
                  <c:v>764.67878961306644</c:v>
                </c:pt>
                <c:pt idx="551">
                  <c:v>764.67878961306644</c:v>
                </c:pt>
                <c:pt idx="552">
                  <c:v>764.67878961306644</c:v>
                </c:pt>
                <c:pt idx="553">
                  <c:v>764.67878961306644</c:v>
                </c:pt>
                <c:pt idx="554">
                  <c:v>764.67878961306644</c:v>
                </c:pt>
                <c:pt idx="555">
                  <c:v>764.67878961306644</c:v>
                </c:pt>
                <c:pt idx="556">
                  <c:v>764.67878961306644</c:v>
                </c:pt>
                <c:pt idx="557">
                  <c:v>764.67878961306644</c:v>
                </c:pt>
                <c:pt idx="558">
                  <c:v>764.67878961306644</c:v>
                </c:pt>
                <c:pt idx="559">
                  <c:v>764.67878961306644</c:v>
                </c:pt>
                <c:pt idx="560">
                  <c:v>764.67878961306644</c:v>
                </c:pt>
                <c:pt idx="561">
                  <c:v>764.67878961306644</c:v>
                </c:pt>
                <c:pt idx="562">
                  <c:v>764.67878961306644</c:v>
                </c:pt>
                <c:pt idx="563">
                  <c:v>764.67878961306644</c:v>
                </c:pt>
                <c:pt idx="564">
                  <c:v>764.67878961306644</c:v>
                </c:pt>
                <c:pt idx="565">
                  <c:v>764.67878961306644</c:v>
                </c:pt>
                <c:pt idx="566">
                  <c:v>764.67878961306644</c:v>
                </c:pt>
                <c:pt idx="567">
                  <c:v>764.67878961306644</c:v>
                </c:pt>
                <c:pt idx="568">
                  <c:v>764.67878961306644</c:v>
                </c:pt>
                <c:pt idx="569">
                  <c:v>764.67878961306644</c:v>
                </c:pt>
                <c:pt idx="570">
                  <c:v>764.67878961306644</c:v>
                </c:pt>
                <c:pt idx="571">
                  <c:v>764.67878961306644</c:v>
                </c:pt>
                <c:pt idx="572">
                  <c:v>764.67878961306644</c:v>
                </c:pt>
                <c:pt idx="573">
                  <c:v>764.67878961306644</c:v>
                </c:pt>
                <c:pt idx="574">
                  <c:v>764.67878961306644</c:v>
                </c:pt>
                <c:pt idx="575">
                  <c:v>764.67878961306644</c:v>
                </c:pt>
                <c:pt idx="576">
                  <c:v>764.67878961306644</c:v>
                </c:pt>
                <c:pt idx="577">
                  <c:v>764.67878961306644</c:v>
                </c:pt>
                <c:pt idx="578">
                  <c:v>764.67878961306644</c:v>
                </c:pt>
                <c:pt idx="579">
                  <c:v>764.67878961306644</c:v>
                </c:pt>
                <c:pt idx="580">
                  <c:v>764.67878961306644</c:v>
                </c:pt>
                <c:pt idx="581">
                  <c:v>764.67878961306644</c:v>
                </c:pt>
                <c:pt idx="582">
                  <c:v>764.67878961306644</c:v>
                </c:pt>
                <c:pt idx="583">
                  <c:v>764.67878961306644</c:v>
                </c:pt>
                <c:pt idx="584">
                  <c:v>764.67878961306644</c:v>
                </c:pt>
                <c:pt idx="585">
                  <c:v>764.67878961306644</c:v>
                </c:pt>
                <c:pt idx="586">
                  <c:v>764.67878961306644</c:v>
                </c:pt>
                <c:pt idx="587">
                  <c:v>764.67878961306644</c:v>
                </c:pt>
                <c:pt idx="588">
                  <c:v>764.67878961306644</c:v>
                </c:pt>
                <c:pt idx="589">
                  <c:v>764.67878961306644</c:v>
                </c:pt>
                <c:pt idx="590">
                  <c:v>764.67878961306644</c:v>
                </c:pt>
                <c:pt idx="591">
                  <c:v>764.67878961306644</c:v>
                </c:pt>
                <c:pt idx="592">
                  <c:v>764.67878961306644</c:v>
                </c:pt>
                <c:pt idx="593">
                  <c:v>764.67878961306644</c:v>
                </c:pt>
                <c:pt idx="594">
                  <c:v>764.67878961306644</c:v>
                </c:pt>
                <c:pt idx="595">
                  <c:v>764.67878961306644</c:v>
                </c:pt>
                <c:pt idx="596">
                  <c:v>764.67878961306644</c:v>
                </c:pt>
                <c:pt idx="597">
                  <c:v>764.67878961306644</c:v>
                </c:pt>
                <c:pt idx="598">
                  <c:v>764.67878961306644</c:v>
                </c:pt>
                <c:pt idx="599">
                  <c:v>764.67878961306644</c:v>
                </c:pt>
                <c:pt idx="600">
                  <c:v>764.67878961306644</c:v>
                </c:pt>
                <c:pt idx="601">
                  <c:v>764.67878961306644</c:v>
                </c:pt>
                <c:pt idx="602">
                  <c:v>764.67878961306644</c:v>
                </c:pt>
                <c:pt idx="603">
                  <c:v>764.67878961306644</c:v>
                </c:pt>
                <c:pt idx="604">
                  <c:v>764.67878961306644</c:v>
                </c:pt>
                <c:pt idx="605">
                  <c:v>764.67878961306644</c:v>
                </c:pt>
                <c:pt idx="606">
                  <c:v>764.67878961306644</c:v>
                </c:pt>
                <c:pt idx="607">
                  <c:v>764.67878961306644</c:v>
                </c:pt>
                <c:pt idx="608">
                  <c:v>764.67878961306644</c:v>
                </c:pt>
                <c:pt idx="609">
                  <c:v>764.67878961306644</c:v>
                </c:pt>
                <c:pt idx="610">
                  <c:v>764.67878961306644</c:v>
                </c:pt>
                <c:pt idx="611">
                  <c:v>764.67878961306644</c:v>
                </c:pt>
                <c:pt idx="612">
                  <c:v>764.67878961306644</c:v>
                </c:pt>
                <c:pt idx="613">
                  <c:v>764.67878961306644</c:v>
                </c:pt>
                <c:pt idx="614">
                  <c:v>764.67878961306644</c:v>
                </c:pt>
                <c:pt idx="615">
                  <c:v>764.67878961306644</c:v>
                </c:pt>
                <c:pt idx="616">
                  <c:v>764.67878961306644</c:v>
                </c:pt>
                <c:pt idx="617">
                  <c:v>764.67878961306644</c:v>
                </c:pt>
                <c:pt idx="618">
                  <c:v>764.67878961306644</c:v>
                </c:pt>
                <c:pt idx="619">
                  <c:v>764.67878961306644</c:v>
                </c:pt>
                <c:pt idx="620">
                  <c:v>764.67878961306644</c:v>
                </c:pt>
                <c:pt idx="621">
                  <c:v>764.67878961306644</c:v>
                </c:pt>
                <c:pt idx="622">
                  <c:v>764.67878961306644</c:v>
                </c:pt>
                <c:pt idx="623">
                  <c:v>764.67878961306644</c:v>
                </c:pt>
                <c:pt idx="624">
                  <c:v>764.67878961306644</c:v>
                </c:pt>
                <c:pt idx="625">
                  <c:v>764.67878961306644</c:v>
                </c:pt>
                <c:pt idx="626">
                  <c:v>764.67878961306644</c:v>
                </c:pt>
                <c:pt idx="627">
                  <c:v>764.67878961306644</c:v>
                </c:pt>
                <c:pt idx="628">
                  <c:v>764.67878961306644</c:v>
                </c:pt>
                <c:pt idx="629">
                  <c:v>764.67878961306644</c:v>
                </c:pt>
                <c:pt idx="630">
                  <c:v>764.67878961306644</c:v>
                </c:pt>
                <c:pt idx="631">
                  <c:v>764.67878961306644</c:v>
                </c:pt>
                <c:pt idx="632">
                  <c:v>764.67878961306644</c:v>
                </c:pt>
                <c:pt idx="633">
                  <c:v>764.67878961306644</c:v>
                </c:pt>
                <c:pt idx="634">
                  <c:v>764.67878961306644</c:v>
                </c:pt>
                <c:pt idx="635">
                  <c:v>764.67878961306644</c:v>
                </c:pt>
                <c:pt idx="636">
                  <c:v>764.67878961306644</c:v>
                </c:pt>
                <c:pt idx="637">
                  <c:v>764.67878961306644</c:v>
                </c:pt>
                <c:pt idx="638">
                  <c:v>764.67878961306644</c:v>
                </c:pt>
                <c:pt idx="639">
                  <c:v>764.67878961306644</c:v>
                </c:pt>
                <c:pt idx="640">
                  <c:v>764.67878961306644</c:v>
                </c:pt>
                <c:pt idx="641">
                  <c:v>764.67878961306644</c:v>
                </c:pt>
                <c:pt idx="642">
                  <c:v>764.67878961306644</c:v>
                </c:pt>
                <c:pt idx="643">
                  <c:v>764.67878961306644</c:v>
                </c:pt>
                <c:pt idx="644">
                  <c:v>764.67878961306644</c:v>
                </c:pt>
                <c:pt idx="645">
                  <c:v>764.67878961306644</c:v>
                </c:pt>
                <c:pt idx="646">
                  <c:v>764.67878961306644</c:v>
                </c:pt>
                <c:pt idx="647">
                  <c:v>764.67878961306644</c:v>
                </c:pt>
                <c:pt idx="648">
                  <c:v>764.67878961306644</c:v>
                </c:pt>
                <c:pt idx="649">
                  <c:v>764.67878961306644</c:v>
                </c:pt>
                <c:pt idx="650">
                  <c:v>764.67878961306644</c:v>
                </c:pt>
                <c:pt idx="651">
                  <c:v>764.67878961306644</c:v>
                </c:pt>
                <c:pt idx="652">
                  <c:v>764.67878961306644</c:v>
                </c:pt>
                <c:pt idx="653">
                  <c:v>764.67878961306644</c:v>
                </c:pt>
                <c:pt idx="654">
                  <c:v>764.67878961306644</c:v>
                </c:pt>
                <c:pt idx="655">
                  <c:v>764.67878961306644</c:v>
                </c:pt>
                <c:pt idx="656">
                  <c:v>764.67878961306644</c:v>
                </c:pt>
                <c:pt idx="657">
                  <c:v>764.67878961306644</c:v>
                </c:pt>
                <c:pt idx="658">
                  <c:v>764.67878961306644</c:v>
                </c:pt>
                <c:pt idx="659">
                  <c:v>764.67878961306644</c:v>
                </c:pt>
                <c:pt idx="660">
                  <c:v>764.67878961306644</c:v>
                </c:pt>
                <c:pt idx="661">
                  <c:v>764.67878961306644</c:v>
                </c:pt>
                <c:pt idx="662">
                  <c:v>764.67878961306644</c:v>
                </c:pt>
                <c:pt idx="663">
                  <c:v>764.67878961306644</c:v>
                </c:pt>
                <c:pt idx="664">
                  <c:v>764.67878961306644</c:v>
                </c:pt>
                <c:pt idx="665">
                  <c:v>764.67878961306644</c:v>
                </c:pt>
                <c:pt idx="666">
                  <c:v>764.67878961306644</c:v>
                </c:pt>
                <c:pt idx="667">
                  <c:v>764.67878961306644</c:v>
                </c:pt>
                <c:pt idx="668">
                  <c:v>764.67878961306644</c:v>
                </c:pt>
                <c:pt idx="669">
                  <c:v>764.67878961306644</c:v>
                </c:pt>
                <c:pt idx="670">
                  <c:v>764.67878961306644</c:v>
                </c:pt>
                <c:pt idx="671">
                  <c:v>764.67878961306644</c:v>
                </c:pt>
                <c:pt idx="672">
                  <c:v>764.67878961306644</c:v>
                </c:pt>
                <c:pt idx="673">
                  <c:v>764.67878961306644</c:v>
                </c:pt>
                <c:pt idx="674">
                  <c:v>764.67878961306644</c:v>
                </c:pt>
                <c:pt idx="675">
                  <c:v>764.67878961306644</c:v>
                </c:pt>
                <c:pt idx="676">
                  <c:v>764.67878961306644</c:v>
                </c:pt>
                <c:pt idx="677">
                  <c:v>764.67878961306644</c:v>
                </c:pt>
                <c:pt idx="678">
                  <c:v>764.67878961306644</c:v>
                </c:pt>
                <c:pt idx="679">
                  <c:v>764.67878961306644</c:v>
                </c:pt>
                <c:pt idx="680">
                  <c:v>764.67878961306644</c:v>
                </c:pt>
                <c:pt idx="681">
                  <c:v>764.67878961306644</c:v>
                </c:pt>
                <c:pt idx="682">
                  <c:v>764.67878961306644</c:v>
                </c:pt>
                <c:pt idx="683">
                  <c:v>764.67878961306644</c:v>
                </c:pt>
                <c:pt idx="684">
                  <c:v>764.67878961306644</c:v>
                </c:pt>
                <c:pt idx="685">
                  <c:v>764.67878961306644</c:v>
                </c:pt>
                <c:pt idx="686">
                  <c:v>764.67878961306644</c:v>
                </c:pt>
                <c:pt idx="687">
                  <c:v>764.67878961306644</c:v>
                </c:pt>
                <c:pt idx="688">
                  <c:v>764.67878961306644</c:v>
                </c:pt>
                <c:pt idx="689">
                  <c:v>764.67878961306644</c:v>
                </c:pt>
                <c:pt idx="690">
                  <c:v>764.67878961306644</c:v>
                </c:pt>
                <c:pt idx="691">
                  <c:v>764.67878961306644</c:v>
                </c:pt>
                <c:pt idx="692">
                  <c:v>764.67878961306644</c:v>
                </c:pt>
                <c:pt idx="693">
                  <c:v>764.67878961306644</c:v>
                </c:pt>
                <c:pt idx="694">
                  <c:v>764.67878961306644</c:v>
                </c:pt>
                <c:pt idx="695">
                  <c:v>764.67878961306644</c:v>
                </c:pt>
                <c:pt idx="696">
                  <c:v>764.67878961306644</c:v>
                </c:pt>
                <c:pt idx="697">
                  <c:v>764.67878961306644</c:v>
                </c:pt>
                <c:pt idx="698">
                  <c:v>764.67878961306644</c:v>
                </c:pt>
                <c:pt idx="699">
                  <c:v>764.67878961306644</c:v>
                </c:pt>
                <c:pt idx="700">
                  <c:v>764.67878961306644</c:v>
                </c:pt>
                <c:pt idx="701">
                  <c:v>764.67878961306644</c:v>
                </c:pt>
                <c:pt idx="702">
                  <c:v>764.67878961306644</c:v>
                </c:pt>
                <c:pt idx="703">
                  <c:v>764.67878961306644</c:v>
                </c:pt>
                <c:pt idx="704">
                  <c:v>764.67878961306644</c:v>
                </c:pt>
                <c:pt idx="705">
                  <c:v>764.67878961306644</c:v>
                </c:pt>
                <c:pt idx="706">
                  <c:v>764.67878961306644</c:v>
                </c:pt>
                <c:pt idx="707">
                  <c:v>764.67878961306644</c:v>
                </c:pt>
                <c:pt idx="708">
                  <c:v>764.67878961306644</c:v>
                </c:pt>
                <c:pt idx="709">
                  <c:v>764.67878961306644</c:v>
                </c:pt>
                <c:pt idx="710">
                  <c:v>764.67878961306644</c:v>
                </c:pt>
                <c:pt idx="711">
                  <c:v>764.67878961306644</c:v>
                </c:pt>
                <c:pt idx="712">
                  <c:v>764.67878961306644</c:v>
                </c:pt>
                <c:pt idx="713">
                  <c:v>764.67878961306644</c:v>
                </c:pt>
                <c:pt idx="714">
                  <c:v>764.67878961306644</c:v>
                </c:pt>
                <c:pt idx="715">
                  <c:v>764.67878961306644</c:v>
                </c:pt>
                <c:pt idx="716">
                  <c:v>764.67878961306644</c:v>
                </c:pt>
                <c:pt idx="717">
                  <c:v>764.67878961306644</c:v>
                </c:pt>
                <c:pt idx="718">
                  <c:v>764.67878961306644</c:v>
                </c:pt>
                <c:pt idx="719">
                  <c:v>764.67878961306644</c:v>
                </c:pt>
                <c:pt idx="720">
                  <c:v>764.67878961306644</c:v>
                </c:pt>
                <c:pt idx="721">
                  <c:v>764.67878961306644</c:v>
                </c:pt>
                <c:pt idx="722">
                  <c:v>764.67878961306644</c:v>
                </c:pt>
                <c:pt idx="723">
                  <c:v>764.67878961306644</c:v>
                </c:pt>
                <c:pt idx="724">
                  <c:v>764.67878961306644</c:v>
                </c:pt>
                <c:pt idx="725">
                  <c:v>764.67878961306644</c:v>
                </c:pt>
                <c:pt idx="726">
                  <c:v>764.67878961306644</c:v>
                </c:pt>
                <c:pt idx="727">
                  <c:v>764.67878961306644</c:v>
                </c:pt>
                <c:pt idx="728">
                  <c:v>764.67878961306644</c:v>
                </c:pt>
                <c:pt idx="729">
                  <c:v>764.67878961306644</c:v>
                </c:pt>
                <c:pt idx="730">
                  <c:v>764.67878961306644</c:v>
                </c:pt>
                <c:pt idx="731">
                  <c:v>764.67878961306644</c:v>
                </c:pt>
                <c:pt idx="732">
                  <c:v>764.67878961306644</c:v>
                </c:pt>
                <c:pt idx="733">
                  <c:v>764.67878961306644</c:v>
                </c:pt>
                <c:pt idx="734">
                  <c:v>764.67878961306644</c:v>
                </c:pt>
                <c:pt idx="735">
                  <c:v>764.67878961306644</c:v>
                </c:pt>
                <c:pt idx="736">
                  <c:v>764.67878961306644</c:v>
                </c:pt>
                <c:pt idx="737">
                  <c:v>764.67878961306644</c:v>
                </c:pt>
                <c:pt idx="738">
                  <c:v>764.67878961306644</c:v>
                </c:pt>
                <c:pt idx="739">
                  <c:v>764.67878961306644</c:v>
                </c:pt>
                <c:pt idx="740">
                  <c:v>764.67878961306644</c:v>
                </c:pt>
                <c:pt idx="741">
                  <c:v>764.67878961306644</c:v>
                </c:pt>
                <c:pt idx="742">
                  <c:v>764.67878961306644</c:v>
                </c:pt>
                <c:pt idx="743">
                  <c:v>764.67878961306644</c:v>
                </c:pt>
                <c:pt idx="744">
                  <c:v>764.67878961306644</c:v>
                </c:pt>
                <c:pt idx="745">
                  <c:v>764.67878961306644</c:v>
                </c:pt>
                <c:pt idx="746">
                  <c:v>764.67878961306644</c:v>
                </c:pt>
                <c:pt idx="747">
                  <c:v>764.67878961306644</c:v>
                </c:pt>
                <c:pt idx="748">
                  <c:v>764.67878961306644</c:v>
                </c:pt>
                <c:pt idx="749">
                  <c:v>764.67878961306644</c:v>
                </c:pt>
                <c:pt idx="750">
                  <c:v>764.67878961306644</c:v>
                </c:pt>
                <c:pt idx="751">
                  <c:v>764.67878961306644</c:v>
                </c:pt>
                <c:pt idx="752">
                  <c:v>764.67878961306644</c:v>
                </c:pt>
                <c:pt idx="753">
                  <c:v>764.67878961306644</c:v>
                </c:pt>
                <c:pt idx="754">
                  <c:v>764.67878961306644</c:v>
                </c:pt>
                <c:pt idx="755">
                  <c:v>764.67878961306644</c:v>
                </c:pt>
                <c:pt idx="756">
                  <c:v>764.67878961306644</c:v>
                </c:pt>
                <c:pt idx="757">
                  <c:v>764.67878961306644</c:v>
                </c:pt>
                <c:pt idx="758">
                  <c:v>764.67878961306644</c:v>
                </c:pt>
                <c:pt idx="759">
                  <c:v>764.67878961306644</c:v>
                </c:pt>
                <c:pt idx="760">
                  <c:v>764.67878961306644</c:v>
                </c:pt>
                <c:pt idx="761">
                  <c:v>764.67878961306644</c:v>
                </c:pt>
                <c:pt idx="762">
                  <c:v>764.67878961306644</c:v>
                </c:pt>
                <c:pt idx="763">
                  <c:v>764.67878961306644</c:v>
                </c:pt>
                <c:pt idx="764">
                  <c:v>764.67878961306644</c:v>
                </c:pt>
                <c:pt idx="765">
                  <c:v>764.67878961306644</c:v>
                </c:pt>
                <c:pt idx="766">
                  <c:v>764.67878961306644</c:v>
                </c:pt>
                <c:pt idx="767">
                  <c:v>764.67878961306644</c:v>
                </c:pt>
                <c:pt idx="768">
                  <c:v>764.67878961306644</c:v>
                </c:pt>
                <c:pt idx="769">
                  <c:v>764.67878961306644</c:v>
                </c:pt>
                <c:pt idx="770">
                  <c:v>764.67878961306644</c:v>
                </c:pt>
                <c:pt idx="771">
                  <c:v>764.67878961306644</c:v>
                </c:pt>
                <c:pt idx="772">
                  <c:v>764.67878961306644</c:v>
                </c:pt>
                <c:pt idx="773">
                  <c:v>764.67878961306644</c:v>
                </c:pt>
                <c:pt idx="774">
                  <c:v>764.67878961306644</c:v>
                </c:pt>
                <c:pt idx="775">
                  <c:v>764.67878961306644</c:v>
                </c:pt>
                <c:pt idx="776">
                  <c:v>764.67878961306644</c:v>
                </c:pt>
                <c:pt idx="777">
                  <c:v>764.67878961306644</c:v>
                </c:pt>
                <c:pt idx="778">
                  <c:v>764.67878961306644</c:v>
                </c:pt>
                <c:pt idx="779">
                  <c:v>764.67878961306644</c:v>
                </c:pt>
                <c:pt idx="780">
                  <c:v>764.67878961306644</c:v>
                </c:pt>
                <c:pt idx="781">
                  <c:v>764.67878961306644</c:v>
                </c:pt>
                <c:pt idx="782">
                  <c:v>764.67878961306644</c:v>
                </c:pt>
                <c:pt idx="783">
                  <c:v>764.67878961306644</c:v>
                </c:pt>
                <c:pt idx="784">
                  <c:v>764.67878961306644</c:v>
                </c:pt>
                <c:pt idx="785">
                  <c:v>764.67878961306644</c:v>
                </c:pt>
                <c:pt idx="786">
                  <c:v>764.67878961306644</c:v>
                </c:pt>
                <c:pt idx="787">
                  <c:v>764.67878961306644</c:v>
                </c:pt>
                <c:pt idx="788">
                  <c:v>764.67878961306644</c:v>
                </c:pt>
                <c:pt idx="789">
                  <c:v>764.67878961306644</c:v>
                </c:pt>
                <c:pt idx="790">
                  <c:v>764.67878961306644</c:v>
                </c:pt>
                <c:pt idx="791">
                  <c:v>764.67878961306644</c:v>
                </c:pt>
                <c:pt idx="792">
                  <c:v>764.67878961306644</c:v>
                </c:pt>
                <c:pt idx="793">
                  <c:v>764.67878961306644</c:v>
                </c:pt>
                <c:pt idx="794">
                  <c:v>764.67878961306644</c:v>
                </c:pt>
                <c:pt idx="795">
                  <c:v>764.67878961306644</c:v>
                </c:pt>
                <c:pt idx="796">
                  <c:v>764.67878961306644</c:v>
                </c:pt>
                <c:pt idx="797">
                  <c:v>764.67878961306644</c:v>
                </c:pt>
                <c:pt idx="798">
                  <c:v>764.67878961306644</c:v>
                </c:pt>
                <c:pt idx="799">
                  <c:v>764.67878961306644</c:v>
                </c:pt>
                <c:pt idx="800">
                  <c:v>764.67878961306644</c:v>
                </c:pt>
                <c:pt idx="801">
                  <c:v>764.67878961306644</c:v>
                </c:pt>
                <c:pt idx="802">
                  <c:v>764.67878961306644</c:v>
                </c:pt>
                <c:pt idx="803">
                  <c:v>764.67878961306644</c:v>
                </c:pt>
                <c:pt idx="804">
                  <c:v>764.67878961306644</c:v>
                </c:pt>
                <c:pt idx="805">
                  <c:v>764.67878961306644</c:v>
                </c:pt>
                <c:pt idx="806">
                  <c:v>764.67878961306644</c:v>
                </c:pt>
                <c:pt idx="807">
                  <c:v>764.67878961306644</c:v>
                </c:pt>
                <c:pt idx="808">
                  <c:v>764.67878961306644</c:v>
                </c:pt>
                <c:pt idx="809">
                  <c:v>764.67878961306644</c:v>
                </c:pt>
                <c:pt idx="810">
                  <c:v>764.67878961306644</c:v>
                </c:pt>
                <c:pt idx="811">
                  <c:v>764.67878961306644</c:v>
                </c:pt>
                <c:pt idx="812">
                  <c:v>764.67878961306644</c:v>
                </c:pt>
                <c:pt idx="813">
                  <c:v>764.67878961306644</c:v>
                </c:pt>
                <c:pt idx="814">
                  <c:v>764.67878961306644</c:v>
                </c:pt>
                <c:pt idx="815">
                  <c:v>764.67878961306644</c:v>
                </c:pt>
                <c:pt idx="816">
                  <c:v>764.67878961306644</c:v>
                </c:pt>
                <c:pt idx="817">
                  <c:v>764.67878961306644</c:v>
                </c:pt>
                <c:pt idx="818">
                  <c:v>764.67878961306644</c:v>
                </c:pt>
                <c:pt idx="819">
                  <c:v>764.67878961306644</c:v>
                </c:pt>
                <c:pt idx="820">
                  <c:v>764.67878961306644</c:v>
                </c:pt>
                <c:pt idx="821">
                  <c:v>764.67878961306644</c:v>
                </c:pt>
                <c:pt idx="822">
                  <c:v>764.67878961306644</c:v>
                </c:pt>
                <c:pt idx="823">
                  <c:v>764.67878961306644</c:v>
                </c:pt>
                <c:pt idx="824">
                  <c:v>764.67878961306644</c:v>
                </c:pt>
                <c:pt idx="825">
                  <c:v>764.67878961306644</c:v>
                </c:pt>
                <c:pt idx="826">
                  <c:v>764.67878961306644</c:v>
                </c:pt>
                <c:pt idx="827">
                  <c:v>764.67878961306644</c:v>
                </c:pt>
                <c:pt idx="828">
                  <c:v>764.67878961306644</c:v>
                </c:pt>
                <c:pt idx="829">
                  <c:v>764.67878961306644</c:v>
                </c:pt>
                <c:pt idx="830">
                  <c:v>764.67878961306644</c:v>
                </c:pt>
                <c:pt idx="831">
                  <c:v>764.67878961306644</c:v>
                </c:pt>
                <c:pt idx="832">
                  <c:v>764.67878961306644</c:v>
                </c:pt>
                <c:pt idx="833">
                  <c:v>764.67878961306644</c:v>
                </c:pt>
                <c:pt idx="834">
                  <c:v>764.67878961306644</c:v>
                </c:pt>
                <c:pt idx="835">
                  <c:v>764.67878961306644</c:v>
                </c:pt>
                <c:pt idx="836">
                  <c:v>764.67878961306644</c:v>
                </c:pt>
                <c:pt idx="837">
                  <c:v>764.67878961306644</c:v>
                </c:pt>
                <c:pt idx="838">
                  <c:v>764.67878961306644</c:v>
                </c:pt>
                <c:pt idx="839">
                  <c:v>764.67878961306644</c:v>
                </c:pt>
                <c:pt idx="840">
                  <c:v>764.67878961306644</c:v>
                </c:pt>
                <c:pt idx="841">
                  <c:v>764.67878961306644</c:v>
                </c:pt>
                <c:pt idx="842">
                  <c:v>764.67878961306644</c:v>
                </c:pt>
                <c:pt idx="843">
                  <c:v>764.67878961306644</c:v>
                </c:pt>
                <c:pt idx="844">
                  <c:v>764.67878961306644</c:v>
                </c:pt>
                <c:pt idx="845">
                  <c:v>764.67878961306644</c:v>
                </c:pt>
                <c:pt idx="846">
                  <c:v>764.67878961306644</c:v>
                </c:pt>
                <c:pt idx="847">
                  <c:v>764.67878961306644</c:v>
                </c:pt>
                <c:pt idx="848">
                  <c:v>764.67878961306644</c:v>
                </c:pt>
                <c:pt idx="849">
                  <c:v>764.67878961306644</c:v>
                </c:pt>
                <c:pt idx="850">
                  <c:v>764.67878961306644</c:v>
                </c:pt>
                <c:pt idx="851">
                  <c:v>764.67878961306644</c:v>
                </c:pt>
                <c:pt idx="852">
                  <c:v>764.67878961306644</c:v>
                </c:pt>
                <c:pt idx="853">
                  <c:v>764.67878961306644</c:v>
                </c:pt>
                <c:pt idx="854">
                  <c:v>764.67878961306644</c:v>
                </c:pt>
                <c:pt idx="855">
                  <c:v>764.67878961306644</c:v>
                </c:pt>
                <c:pt idx="856">
                  <c:v>764.67878961306644</c:v>
                </c:pt>
                <c:pt idx="857">
                  <c:v>764.67878961306644</c:v>
                </c:pt>
                <c:pt idx="858">
                  <c:v>764.67878961306644</c:v>
                </c:pt>
                <c:pt idx="859">
                  <c:v>764.67878961306644</c:v>
                </c:pt>
                <c:pt idx="860">
                  <c:v>764.67878961306644</c:v>
                </c:pt>
                <c:pt idx="861">
                  <c:v>764.67878961306644</c:v>
                </c:pt>
                <c:pt idx="862">
                  <c:v>764.67878961306644</c:v>
                </c:pt>
                <c:pt idx="863">
                  <c:v>764.67878961306644</c:v>
                </c:pt>
                <c:pt idx="864">
                  <c:v>764.67878961306644</c:v>
                </c:pt>
                <c:pt idx="865">
                  <c:v>764.67878961306644</c:v>
                </c:pt>
                <c:pt idx="866">
                  <c:v>764.67878961306644</c:v>
                </c:pt>
                <c:pt idx="867">
                  <c:v>764.67878961306644</c:v>
                </c:pt>
                <c:pt idx="868">
                  <c:v>764.67878961306644</c:v>
                </c:pt>
                <c:pt idx="869">
                  <c:v>764.67878961306644</c:v>
                </c:pt>
                <c:pt idx="870">
                  <c:v>764.67878961306644</c:v>
                </c:pt>
                <c:pt idx="871">
                  <c:v>764.67878961306644</c:v>
                </c:pt>
                <c:pt idx="872">
                  <c:v>764.67878961306644</c:v>
                </c:pt>
                <c:pt idx="873">
                  <c:v>764.67878961306644</c:v>
                </c:pt>
                <c:pt idx="874">
                  <c:v>764.67878961306644</c:v>
                </c:pt>
                <c:pt idx="875">
                  <c:v>764.67878961306644</c:v>
                </c:pt>
                <c:pt idx="876">
                  <c:v>764.67878961306644</c:v>
                </c:pt>
                <c:pt idx="877">
                  <c:v>764.67878961306644</c:v>
                </c:pt>
                <c:pt idx="878">
                  <c:v>764.67878961306644</c:v>
                </c:pt>
                <c:pt idx="879">
                  <c:v>764.67878961306644</c:v>
                </c:pt>
                <c:pt idx="880">
                  <c:v>764.67878961306644</c:v>
                </c:pt>
                <c:pt idx="881">
                  <c:v>764.67878961306644</c:v>
                </c:pt>
                <c:pt idx="882">
                  <c:v>764.67878961306644</c:v>
                </c:pt>
                <c:pt idx="883">
                  <c:v>764.67878961306644</c:v>
                </c:pt>
                <c:pt idx="884">
                  <c:v>764.67878961306644</c:v>
                </c:pt>
                <c:pt idx="885">
                  <c:v>764.67878961306644</c:v>
                </c:pt>
                <c:pt idx="886">
                  <c:v>764.67878961306644</c:v>
                </c:pt>
                <c:pt idx="887">
                  <c:v>764.67878961306644</c:v>
                </c:pt>
                <c:pt idx="888">
                  <c:v>764.67878961306644</c:v>
                </c:pt>
                <c:pt idx="889">
                  <c:v>764.67878961306644</c:v>
                </c:pt>
                <c:pt idx="890">
                  <c:v>764.67878961306644</c:v>
                </c:pt>
                <c:pt idx="891">
                  <c:v>764.67878961306644</c:v>
                </c:pt>
                <c:pt idx="892">
                  <c:v>764.67878961306644</c:v>
                </c:pt>
                <c:pt idx="893">
                  <c:v>764.67878961306644</c:v>
                </c:pt>
                <c:pt idx="894">
                  <c:v>764.67878961306644</c:v>
                </c:pt>
                <c:pt idx="895">
                  <c:v>764.67878961306644</c:v>
                </c:pt>
                <c:pt idx="896">
                  <c:v>764.67878961306644</c:v>
                </c:pt>
                <c:pt idx="897">
                  <c:v>764.67878961306644</c:v>
                </c:pt>
                <c:pt idx="898">
                  <c:v>764.67878961306644</c:v>
                </c:pt>
                <c:pt idx="899">
                  <c:v>764.67878961306644</c:v>
                </c:pt>
                <c:pt idx="900">
                  <c:v>764.67878961306644</c:v>
                </c:pt>
                <c:pt idx="901">
                  <c:v>764.67878961306644</c:v>
                </c:pt>
                <c:pt idx="902">
                  <c:v>764.67878961306644</c:v>
                </c:pt>
                <c:pt idx="903">
                  <c:v>764.67878961306644</c:v>
                </c:pt>
                <c:pt idx="904">
                  <c:v>764.67878961306644</c:v>
                </c:pt>
                <c:pt idx="905">
                  <c:v>764.67878961306644</c:v>
                </c:pt>
                <c:pt idx="906">
                  <c:v>764.67878961306644</c:v>
                </c:pt>
                <c:pt idx="907">
                  <c:v>764.67878961306644</c:v>
                </c:pt>
                <c:pt idx="908">
                  <c:v>764.67878961306644</c:v>
                </c:pt>
                <c:pt idx="909">
                  <c:v>764.67878961306644</c:v>
                </c:pt>
                <c:pt idx="910">
                  <c:v>764.67878961306644</c:v>
                </c:pt>
                <c:pt idx="911">
                  <c:v>764.67878961306644</c:v>
                </c:pt>
                <c:pt idx="912">
                  <c:v>764.67878961306644</c:v>
                </c:pt>
                <c:pt idx="913">
                  <c:v>764.67878961306644</c:v>
                </c:pt>
                <c:pt idx="914">
                  <c:v>764.67878961306644</c:v>
                </c:pt>
                <c:pt idx="915">
                  <c:v>764.67878961306644</c:v>
                </c:pt>
                <c:pt idx="916">
                  <c:v>764.67878961306644</c:v>
                </c:pt>
                <c:pt idx="917">
                  <c:v>764.67878961306644</c:v>
                </c:pt>
                <c:pt idx="918">
                  <c:v>764.67878961306644</c:v>
                </c:pt>
                <c:pt idx="919">
                  <c:v>764.67878961306644</c:v>
                </c:pt>
                <c:pt idx="920">
                  <c:v>764.67878961306644</c:v>
                </c:pt>
                <c:pt idx="921">
                  <c:v>764.67878961306644</c:v>
                </c:pt>
                <c:pt idx="922">
                  <c:v>764.67878961306644</c:v>
                </c:pt>
                <c:pt idx="923">
                  <c:v>764.67878961306644</c:v>
                </c:pt>
                <c:pt idx="924">
                  <c:v>764.67878961306644</c:v>
                </c:pt>
                <c:pt idx="925">
                  <c:v>764.67878961306644</c:v>
                </c:pt>
                <c:pt idx="926">
                  <c:v>764.67878961306644</c:v>
                </c:pt>
                <c:pt idx="927">
                  <c:v>764.67878961306644</c:v>
                </c:pt>
                <c:pt idx="928">
                  <c:v>764.67878961306644</c:v>
                </c:pt>
                <c:pt idx="929">
                  <c:v>764.67878961306644</c:v>
                </c:pt>
                <c:pt idx="930">
                  <c:v>764.67878961306644</c:v>
                </c:pt>
                <c:pt idx="931">
                  <c:v>764.67878961306644</c:v>
                </c:pt>
                <c:pt idx="932">
                  <c:v>764.67878961306644</c:v>
                </c:pt>
                <c:pt idx="933">
                  <c:v>764.67878961306644</c:v>
                </c:pt>
                <c:pt idx="934">
                  <c:v>764.67878961306644</c:v>
                </c:pt>
                <c:pt idx="935">
                  <c:v>764.67878961306644</c:v>
                </c:pt>
                <c:pt idx="936">
                  <c:v>764.67878961306644</c:v>
                </c:pt>
                <c:pt idx="937">
                  <c:v>764.67878961306644</c:v>
                </c:pt>
                <c:pt idx="938">
                  <c:v>764.67878961306644</c:v>
                </c:pt>
                <c:pt idx="939">
                  <c:v>764.67878961306644</c:v>
                </c:pt>
                <c:pt idx="940">
                  <c:v>764.67878961306644</c:v>
                </c:pt>
                <c:pt idx="941">
                  <c:v>764.67878961306644</c:v>
                </c:pt>
                <c:pt idx="942">
                  <c:v>764.67878961306644</c:v>
                </c:pt>
                <c:pt idx="943">
                  <c:v>764.67878961306644</c:v>
                </c:pt>
                <c:pt idx="944">
                  <c:v>764.67878961306644</c:v>
                </c:pt>
                <c:pt idx="945">
                  <c:v>764.67878961306644</c:v>
                </c:pt>
                <c:pt idx="946">
                  <c:v>764.67878961306644</c:v>
                </c:pt>
                <c:pt idx="947">
                  <c:v>764.67878961306644</c:v>
                </c:pt>
                <c:pt idx="948">
                  <c:v>764.67878961306644</c:v>
                </c:pt>
                <c:pt idx="949">
                  <c:v>764.67878961306644</c:v>
                </c:pt>
                <c:pt idx="950">
                  <c:v>764.67878961306644</c:v>
                </c:pt>
                <c:pt idx="951">
                  <c:v>764.67878961306644</c:v>
                </c:pt>
                <c:pt idx="952">
                  <c:v>764.67878961306644</c:v>
                </c:pt>
                <c:pt idx="953">
                  <c:v>764.67878961306644</c:v>
                </c:pt>
                <c:pt idx="954">
                  <c:v>764.67878961306644</c:v>
                </c:pt>
                <c:pt idx="955">
                  <c:v>764.67878961306644</c:v>
                </c:pt>
                <c:pt idx="956">
                  <c:v>764.67878961306644</c:v>
                </c:pt>
                <c:pt idx="957">
                  <c:v>764.67878961306644</c:v>
                </c:pt>
                <c:pt idx="958">
                  <c:v>764.67878961306644</c:v>
                </c:pt>
                <c:pt idx="959">
                  <c:v>764.67878961306644</c:v>
                </c:pt>
                <c:pt idx="960">
                  <c:v>764.67878961306644</c:v>
                </c:pt>
                <c:pt idx="961">
                  <c:v>764.67878961306644</c:v>
                </c:pt>
                <c:pt idx="962">
                  <c:v>764.67878961306644</c:v>
                </c:pt>
                <c:pt idx="963">
                  <c:v>764.67878961306644</c:v>
                </c:pt>
                <c:pt idx="964">
                  <c:v>764.67878961306644</c:v>
                </c:pt>
                <c:pt idx="965">
                  <c:v>764.67878961306644</c:v>
                </c:pt>
                <c:pt idx="966">
                  <c:v>764.67878961306644</c:v>
                </c:pt>
                <c:pt idx="967">
                  <c:v>764.67878961306644</c:v>
                </c:pt>
                <c:pt idx="968">
                  <c:v>764.67878961306644</c:v>
                </c:pt>
                <c:pt idx="969">
                  <c:v>764.67878961306644</c:v>
                </c:pt>
                <c:pt idx="970">
                  <c:v>764.67878961306644</c:v>
                </c:pt>
                <c:pt idx="971">
                  <c:v>764.67878961306644</c:v>
                </c:pt>
                <c:pt idx="972">
                  <c:v>764.67878961306644</c:v>
                </c:pt>
                <c:pt idx="973">
                  <c:v>764.67878961306644</c:v>
                </c:pt>
                <c:pt idx="974">
                  <c:v>764.67878961306644</c:v>
                </c:pt>
                <c:pt idx="975">
                  <c:v>764.67878961306644</c:v>
                </c:pt>
                <c:pt idx="976">
                  <c:v>764.67878961306644</c:v>
                </c:pt>
                <c:pt idx="977">
                  <c:v>764.67878961306644</c:v>
                </c:pt>
                <c:pt idx="978">
                  <c:v>764.67878961306644</c:v>
                </c:pt>
                <c:pt idx="979">
                  <c:v>764.67878961306644</c:v>
                </c:pt>
                <c:pt idx="980">
                  <c:v>764.67878961306644</c:v>
                </c:pt>
                <c:pt idx="981">
                  <c:v>764.67878961306644</c:v>
                </c:pt>
                <c:pt idx="982">
                  <c:v>764.67878961306644</c:v>
                </c:pt>
                <c:pt idx="983">
                  <c:v>764.67878961306644</c:v>
                </c:pt>
                <c:pt idx="984">
                  <c:v>764.67878961306644</c:v>
                </c:pt>
                <c:pt idx="985">
                  <c:v>764.67878961306644</c:v>
                </c:pt>
                <c:pt idx="986">
                  <c:v>764.67878961306644</c:v>
                </c:pt>
                <c:pt idx="987">
                  <c:v>764.67878961306644</c:v>
                </c:pt>
                <c:pt idx="988">
                  <c:v>764.67878961306644</c:v>
                </c:pt>
                <c:pt idx="989">
                  <c:v>764.67878961306644</c:v>
                </c:pt>
                <c:pt idx="990">
                  <c:v>764.67878961306644</c:v>
                </c:pt>
                <c:pt idx="991">
                  <c:v>764.67878961306644</c:v>
                </c:pt>
                <c:pt idx="992">
                  <c:v>764.67878961306644</c:v>
                </c:pt>
                <c:pt idx="993">
                  <c:v>764.67878961306644</c:v>
                </c:pt>
                <c:pt idx="994">
                  <c:v>764.67878961306644</c:v>
                </c:pt>
                <c:pt idx="995">
                  <c:v>764.67878961306644</c:v>
                </c:pt>
                <c:pt idx="996">
                  <c:v>764.67878961306644</c:v>
                </c:pt>
                <c:pt idx="997">
                  <c:v>764.67878961306644</c:v>
                </c:pt>
                <c:pt idx="998">
                  <c:v>764.67878961306644</c:v>
                </c:pt>
                <c:pt idx="999">
                  <c:v>764.67878961306644</c:v>
                </c:pt>
                <c:pt idx="1000">
                  <c:v>764.67878961306644</c:v>
                </c:pt>
              </c:numCache>
            </c:numRef>
          </c:xVal>
          <c:yVal>
            <c:numRef>
              <c:f>Calculs!$AE$4:$AE$1004</c:f>
              <c:numCache>
                <c:formatCode>0</c:formatCode>
                <c:ptCount val="1001"/>
                <c:pt idx="0">
                  <c:v>0</c:v>
                </c:pt>
                <c:pt idx="1">
                  <c:v>7.9588567858292995E-4</c:v>
                </c:pt>
                <c:pt idx="2">
                  <c:v>6.723482670051845E-3</c:v>
                </c:pt>
                <c:pt idx="3">
                  <c:v>2.3479711239899365E-2</c:v>
                </c:pt>
                <c:pt idx="4">
                  <c:v>5.2995906566015188E-2</c:v>
                </c:pt>
                <c:pt idx="5">
                  <c:v>9.4820262845367348E-2</c:v>
                </c:pt>
                <c:pt idx="6">
                  <c:v>0.14863784731109492</c:v>
                </c:pt>
                <c:pt idx="7">
                  <c:v>0.21440886054895564</c:v>
                </c:pt>
                <c:pt idx="8">
                  <c:v>0.29223128024106937</c:v>
                </c:pt>
                <c:pt idx="9">
                  <c:v>0.3822031479999124</c:v>
                </c:pt>
                <c:pt idx="10">
                  <c:v>0.48442256793887617</c:v>
                </c:pt>
                <c:pt idx="11">
                  <c:v>0.59897339643303338</c:v>
                </c:pt>
                <c:pt idx="12">
                  <c:v>0.72591089482237248</c:v>
                </c:pt>
                <c:pt idx="13">
                  <c:v>0.86527598194740496</c:v>
                </c:pt>
                <c:pt idx="14">
                  <c:v>1.0171095238995609</c:v>
                </c:pt>
                <c:pt idx="15">
                  <c:v>1.1814523328906639</c:v>
                </c:pt>
                <c:pt idx="16">
                  <c:v>1.3583451661181094</c:v>
                </c:pt>
                <c:pt idx="17">
                  <c:v>1.5478287246258078</c:v>
                </c:pt>
                <c:pt idx="18">
                  <c:v>1.7499436521609577</c:v>
                </c:pt>
                <c:pt idx="19">
                  <c:v>1.9647305340267165</c:v>
                </c:pt>
                <c:pt idx="20">
                  <c:v>2.1922298959308328</c:v>
                </c:pt>
                <c:pt idx="21">
                  <c:v>2.4324764613328229</c:v>
                </c:pt>
                <c:pt idx="22">
                  <c:v>2.6854933941468113</c:v>
                </c:pt>
                <c:pt idx="23">
                  <c:v>2.9512980178484214</c:v>
                </c:pt>
                <c:pt idx="24">
                  <c:v>3.2299075494554561</c:v>
                </c:pt>
                <c:pt idx="25">
                  <c:v>3.5213390988348241</c:v>
                </c:pt>
                <c:pt idx="26">
                  <c:v>3.8256096680122686</c:v>
                </c:pt>
                <c:pt idx="27">
                  <c:v>4.1427361504849607</c:v>
                </c:pt>
                <c:pt idx="28">
                  <c:v>4.4727205299112907</c:v>
                </c:pt>
                <c:pt idx="29">
                  <c:v>4.8155640809976488</c:v>
                </c:pt>
                <c:pt idx="30">
                  <c:v>5.1712821766383108</c:v>
                </c:pt>
                <c:pt idx="31">
                  <c:v>5.5398901022790819</c:v>
                </c:pt>
                <c:pt idx="32">
                  <c:v>5.9214030636097714</c:v>
                </c:pt>
                <c:pt idx="33">
                  <c:v>6.31583618389429</c:v>
                </c:pt>
                <c:pt idx="34">
                  <c:v>6.7232045014900033</c:v>
                </c:pt>
                <c:pt idx="35">
                  <c:v>7.1435229675339738</c:v>
                </c:pt>
                <c:pt idx="36">
                  <c:v>7.5768064437770102</c:v>
                </c:pt>
                <c:pt idx="37">
                  <c:v>8.0230697005491916</c:v>
                </c:pt>
                <c:pt idx="38">
                  <c:v>8.4823274148428052</c:v>
                </c:pt>
                <c:pt idx="39">
                  <c:v>8.9545941685005399</c:v>
                </c:pt>
                <c:pt idx="40">
                  <c:v>9.4398844464983878</c:v>
                </c:pt>
                <c:pt idx="41">
                  <c:v>9.938208170198962</c:v>
                </c:pt>
                <c:pt idx="42">
                  <c:v>10.449566220794946</c:v>
                </c:pt>
                <c:pt idx="43">
                  <c:v>10.973954889047857</c:v>
                </c:pt>
                <c:pt idx="44">
                  <c:v>11.511370335191106</c:v>
                </c:pt>
                <c:pt idx="45">
                  <c:v>12.061808587999941</c:v>
                </c:pt>
                <c:pt idx="46">
                  <c:v>12.625265543925277</c:v>
                </c:pt>
                <c:pt idx="47">
                  <c:v>13.20173696628637</c:v>
                </c:pt>
                <c:pt idx="48">
                  <c:v>13.79121848451787</c:v>
                </c:pt>
                <c:pt idx="49">
                  <c:v>14.393705593467239</c:v>
                </c:pt>
                <c:pt idx="50">
                  <c:v>15.009193652738984</c:v>
                </c:pt>
                <c:pt idx="51">
                  <c:v>15.637677886082503</c:v>
                </c:pt>
                <c:pt idx="52">
                  <c:v>16.279153380820645</c:v>
                </c:pt>
                <c:pt idx="53">
                  <c:v>16.933615087316426</c:v>
                </c:pt>
                <c:pt idx="54">
                  <c:v>17.601057818475532</c:v>
                </c:pt>
                <c:pt idx="55">
                  <c:v>18.28147624928253</c:v>
                </c:pt>
                <c:pt idx="56">
                  <c:v>18.97486491636883</c:v>
                </c:pt>
                <c:pt idx="57">
                  <c:v>19.681218217610695</c:v>
                </c:pt>
                <c:pt idx="58">
                  <c:v>20.400530411755685</c:v>
                </c:pt>
                <c:pt idx="59">
                  <c:v>21.132795618076113</c:v>
                </c:pt>
                <c:pt idx="60">
                  <c:v>21.878007816048164</c:v>
                </c:pt>
                <c:pt idx="61">
                  <c:v>22.636160845055535</c:v>
                </c:pt>
                <c:pt idx="62">
                  <c:v>23.407248404116402</c:v>
                </c:pt>
                <c:pt idx="63">
                  <c:v>24.191264051632764</c:v>
                </c:pt>
                <c:pt idx="64">
                  <c:v>24.988201205161229</c:v>
                </c:pt>
                <c:pt idx="65">
                  <c:v>25.798053141204328</c:v>
                </c:pt>
                <c:pt idx="66">
                  <c:v>26.620812995021634</c:v>
                </c:pt>
                <c:pt idx="67">
                  <c:v>27.456473760459918</c:v>
                </c:pt>
                <c:pt idx="68">
                  <c:v>28.305028289801662</c:v>
                </c:pt>
                <c:pt idx="69">
                  <c:v>29.166469293631312</c:v>
                </c:pt>
                <c:pt idx="70">
                  <c:v>30.040789340718703</c:v>
                </c:pt>
                <c:pt idx="71">
                  <c:v>30.927980857919081</c:v>
                </c:pt>
                <c:pt idx="72">
                  <c:v>31.828036130089266</c:v>
                </c:pt>
                <c:pt idx="73">
                  <c:v>32.740947300019428</c:v>
                </c:pt>
                <c:pt idx="74">
                  <c:v>33.666706368380119</c:v>
                </c:pt>
                <c:pt idx="75">
                  <c:v>34.605305193684053</c:v>
                </c:pt>
                <c:pt idx="76">
                  <c:v>35.556735492262376</c:v>
                </c:pt>
                <c:pt idx="77">
                  <c:v>36.520988838254929</c:v>
                </c:pt>
                <c:pt idx="78">
                  <c:v>37.498056663614292</c:v>
                </c:pt>
                <c:pt idx="79">
                  <c:v>38.487930258123235</c:v>
                </c:pt>
                <c:pt idx="80">
                  <c:v>39.490600769425271</c:v>
                </c:pt>
                <c:pt idx="81">
                  <c:v>40.506054671291871</c:v>
                </c:pt>
                <c:pt idx="82">
                  <c:v>41.534269223564927</c:v>
                </c:pt>
                <c:pt idx="83">
                  <c:v>42.575216993653761</c:v>
                </c:pt>
                <c:pt idx="84">
                  <c:v>43.628870386697834</c:v>
                </c:pt>
                <c:pt idx="85">
                  <c:v>44.69520164629246</c:v>
                </c:pt>
                <c:pt idx="86">
                  <c:v>45.774182855228148</c:v>
                </c:pt>
                <c:pt idx="87">
                  <c:v>46.865785936243235</c:v>
                </c:pt>
                <c:pt idx="88">
                  <c:v>47.969982652789454</c:v>
                </c:pt>
                <c:pt idx="89">
                  <c:v>49.086744609810168</c:v>
                </c:pt>
                <c:pt idx="90">
                  <c:v>50.216043254530938</c:v>
                </c:pt>
                <c:pt idx="91">
                  <c:v>51.357847874866614</c:v>
                </c:pt>
                <c:pt idx="92">
                  <c:v>52.512123594452866</c:v>
                </c:pt>
                <c:pt idx="93">
                  <c:v>53.678833371876017</c:v>
                </c:pt>
                <c:pt idx="94">
                  <c:v>54.857940003457699</c:v>
                </c:pt>
                <c:pt idx="95">
                  <c:v>56.049406124415476</c:v>
                </c:pt>
                <c:pt idx="96">
                  <c:v>57.253194210034358</c:v>
                </c:pt>
                <c:pt idx="97">
                  <c:v>58.46926657684886</c:v>
                </c:pt>
                <c:pt idx="98">
                  <c:v>59.697585383835332</c:v>
                </c:pt>
                <c:pt idx="99">
                  <c:v>60.938112633614253</c:v>
                </c:pt>
                <c:pt idx="100">
                  <c:v>62.190810173662278</c:v>
                </c:pt>
                <c:pt idx="101">
                  <c:v>63.455639377226447</c:v>
                </c:pt>
                <c:pt idx="102">
                  <c:v>64.732560823757723</c:v>
                </c:pt>
                <c:pt idx="103">
                  <c:v>66.02153461991719</c:v>
                </c:pt>
                <c:pt idx="104">
                  <c:v>67.322520721106642</c:v>
                </c:pt>
                <c:pt idx="105">
                  <c:v>68.635478932776749</c:v>
                </c:pt>
                <c:pt idx="106">
                  <c:v>69.960368911743316</c:v>
                </c:pt>
                <c:pt idx="107">
                  <c:v>71.297150167511461</c:v>
                </c:pt>
                <c:pt idx="108">
                  <c:v>72.6457820636073</c:v>
                </c:pt>
                <c:pt idx="109">
                  <c:v>74.006223818917107</c:v>
                </c:pt>
                <c:pt idx="110">
                  <c:v>75.378434509033582</c:v>
                </c:pt>
                <c:pt idx="111">
                  <c:v>76.762376755823098</c:v>
                </c:pt>
                <c:pt idx="112">
                  <c:v>78.158020422049944</c:v>
                </c:pt>
                <c:pt idx="113">
                  <c:v>79.56533892965804</c:v>
                </c:pt>
                <c:pt idx="114">
                  <c:v>80.984305572728815</c:v>
                </c:pt>
                <c:pt idx="115">
                  <c:v>82.414893518300389</c:v>
                </c:pt>
                <c:pt idx="116">
                  <c:v>83.85707580719334</c:v>
                </c:pt>
                <c:pt idx="117">
                  <c:v>85.310825354843004</c:v>
                </c:pt>
                <c:pt idx="118">
                  <c:v>86.776114952138201</c:v>
                </c:pt>
                <c:pt idx="119">
                  <c:v>88.252917266266223</c:v>
                </c:pt>
                <c:pt idx="120">
                  <c:v>89.741204841563871</c:v>
                </c:pt>
                <c:pt idx="121">
                  <c:v>91.24094398246018</c:v>
                </c:pt>
                <c:pt idx="122">
                  <c:v>92.752088628881836</c:v>
                </c:pt>
                <c:pt idx="123">
                  <c:v>94.274586468149366</c:v>
                </c:pt>
                <c:pt idx="124">
                  <c:v>95.808385054901692</c:v>
                </c:pt>
                <c:pt idx="125">
                  <c:v>97.353431812934318</c:v>
                </c:pt>
                <c:pt idx="126">
                  <c:v>98.90967403704019</c:v>
                </c:pt>
                <c:pt idx="127">
                  <c:v>100.47705889485302</c:v>
                </c:pt>
                <c:pt idx="128">
                  <c:v>102.05553342869275</c:v>
                </c:pt>
                <c:pt idx="129">
                  <c:v>103.6450445574131</c:v>
                </c:pt>
                <c:pt idx="130">
                  <c:v>105.2455390782506</c:v>
                </c:pt>
                <c:pt idx="131">
                  <c:v>106.85696206683457</c:v>
                </c:pt>
                <c:pt idx="132">
                  <c:v>108.47925527552694</c:v>
                </c:pt>
                <c:pt idx="133">
                  <c:v>110.11235873586841</c:v>
                </c:pt>
                <c:pt idx="134">
                  <c:v>111.75621236283401</c:v>
                </c:pt>
                <c:pt idx="135">
                  <c:v>113.41075595696113</c:v>
                </c:pt>
                <c:pt idx="136">
                  <c:v>115.07592920647645</c:v>
                </c:pt>
                <c:pt idx="137">
                  <c:v>116.7516716894214</c:v>
                </c:pt>
                <c:pt idx="138">
                  <c:v>118.43792287577593</c:v>
                </c:pt>
                <c:pt idx="139">
                  <c:v>120.13462212958029</c:v>
                </c:pt>
                <c:pt idx="140">
                  <c:v>121.84170871105466</c:v>
                </c:pt>
                <c:pt idx="141">
                  <c:v>123.55910262424158</c:v>
                </c:pt>
                <c:pt idx="142">
                  <c:v>125.2866854487269</c:v>
                </c:pt>
                <c:pt idx="143">
                  <c:v>127.02431948877086</c:v>
                </c:pt>
                <c:pt idx="144">
                  <c:v>128.77186694042001</c:v>
                </c:pt>
                <c:pt idx="145">
                  <c:v>130.52918989772519</c:v>
                </c:pt>
                <c:pt idx="146">
                  <c:v>132.29615035892041</c:v>
                </c:pt>
                <c:pt idx="147">
                  <c:v>134.07261023256203</c:v>
                </c:pt>
                <c:pt idx="148">
                  <c:v>135.85843134362693</c:v>
                </c:pt>
                <c:pt idx="149">
                  <c:v>137.65347543956926</c:v>
                </c:pt>
                <c:pt idx="150">
                  <c:v>139.45760419633461</c:v>
                </c:pt>
                <c:pt idx="151">
                  <c:v>141.27067922433088</c:v>
                </c:pt>
                <c:pt idx="152">
                  <c:v>143.09256207435516</c:v>
                </c:pt>
                <c:pt idx="153">
                  <c:v>144.92311424347562</c:v>
                </c:pt>
                <c:pt idx="154">
                  <c:v>146.7621971808679</c:v>
                </c:pt>
                <c:pt idx="155">
                  <c:v>148.609672293605</c:v>
                </c:pt>
                <c:pt idx="156">
                  <c:v>150.46531023282532</c:v>
                </c:pt>
                <c:pt idx="157">
                  <c:v>152.32870015962811</c:v>
                </c:pt>
                <c:pt idx="158">
                  <c:v>154.19934053211031</c:v>
                </c:pt>
                <c:pt idx="159">
                  <c:v>156.07672993311658</c:v>
                </c:pt>
                <c:pt idx="160">
                  <c:v>157.96036711654375</c:v>
                </c:pt>
                <c:pt idx="161">
                  <c:v>159.84963571845012</c:v>
                </c:pt>
                <c:pt idx="162">
                  <c:v>161.7436890236242</c:v>
                </c:pt>
                <c:pt idx="163">
                  <c:v>163.64157656115606</c:v>
                </c:pt>
                <c:pt idx="164">
                  <c:v>165.54237068465417</c:v>
                </c:pt>
                <c:pt idx="165">
                  <c:v>167.44526586288265</c:v>
                </c:pt>
                <c:pt idx="166">
                  <c:v>169.34967783643003</c:v>
                </c:pt>
                <c:pt idx="167">
                  <c:v>171.25504948739027</c:v>
                </c:pt>
                <c:pt idx="168">
                  <c:v>173.16071751107907</c:v>
                </c:pt>
                <c:pt idx="169">
                  <c:v>175.06582340779886</c:v>
                </c:pt>
                <c:pt idx="170">
                  <c:v>176.96928528637369</c:v>
                </c:pt>
                <c:pt idx="171">
                  <c:v>178.87034592471116</c:v>
                </c:pt>
                <c:pt idx="172">
                  <c:v>180.76881683826667</c:v>
                </c:pt>
                <c:pt idx="173">
                  <c:v>182.66470267874479</c:v>
                </c:pt>
                <c:pt idx="174">
                  <c:v>184.55800808201212</c:v>
                </c:pt>
                <c:pt idx="175">
                  <c:v>186.44873766816829</c:v>
                </c:pt>
                <c:pt idx="176">
                  <c:v>188.33689604161651</c:v>
                </c:pt>
                <c:pt idx="177">
                  <c:v>190.22248779113377</c:v>
                </c:pt>
                <c:pt idx="178">
                  <c:v>192.10551748994061</c:v>
                </c:pt>
                <c:pt idx="179">
                  <c:v>193.98598969577048</c:v>
                </c:pt>
                <c:pt idx="180">
                  <c:v>195.86390895093882</c:v>
                </c:pt>
                <c:pt idx="181">
                  <c:v>197.73927978241153</c:v>
                </c:pt>
                <c:pt idx="182">
                  <c:v>199.61210670187336</c:v>
                </c:pt>
                <c:pt idx="183">
                  <c:v>201.4823942057956</c:v>
                </c:pt>
                <c:pt idx="184">
                  <c:v>203.35014677550359</c:v>
                </c:pt>
                <c:pt idx="185">
                  <c:v>205.2153688772438</c:v>
                </c:pt>
                <c:pt idx="186">
                  <c:v>207.07806496225055</c:v>
                </c:pt>
                <c:pt idx="187">
                  <c:v>208.93823946681229</c:v>
                </c:pt>
                <c:pt idx="188">
                  <c:v>210.79589681233759</c:v>
                </c:pt>
                <c:pt idx="189">
                  <c:v>212.65104140542067</c:v>
                </c:pt>
                <c:pt idx="190">
                  <c:v>214.50367763790672</c:v>
                </c:pt>
                <c:pt idx="191">
                  <c:v>216.35380988695664</c:v>
                </c:pt>
                <c:pt idx="192">
                  <c:v>218.20144251511167</c:v>
                </c:pt>
                <c:pt idx="193">
                  <c:v>220.04657987035739</c:v>
                </c:pt>
                <c:pt idx="194">
                  <c:v>221.88922628618761</c:v>
                </c:pt>
                <c:pt idx="195">
                  <c:v>223.72938608166768</c:v>
                </c:pt>
                <c:pt idx="196">
                  <c:v>225.56706356149772</c:v>
                </c:pt>
                <c:pt idx="197">
                  <c:v>227.40226301607521</c:v>
                </c:pt>
                <c:pt idx="198">
                  <c:v>229.23498872155744</c:v>
                </c:pt>
                <c:pt idx="199">
                  <c:v>231.06524493992353</c:v>
                </c:pt>
                <c:pt idx="200">
                  <c:v>232.89303591903609</c:v>
                </c:pt>
                <c:pt idx="201">
                  <c:v>251.03568551352203</c:v>
                </c:pt>
                <c:pt idx="202">
                  <c:v>268.93453630754851</c:v>
                </c:pt>
                <c:pt idx="203">
                  <c:v>286.59370106166131</c:v>
                </c:pt>
                <c:pt idx="204">
                  <c:v>304.01715932046432</c:v>
                </c:pt>
                <c:pt idx="205">
                  <c:v>321.20876302032707</c:v>
                </c:pt>
                <c:pt idx="206">
                  <c:v>338.1722418002347</c:v>
                </c:pt>
                <c:pt idx="207">
                  <c:v>354.91120803451514</c:v>
                </c:pt>
                <c:pt idx="208">
                  <c:v>371.42916160480758</c:v>
                </c:pt>
                <c:pt idx="209">
                  <c:v>387.72949442737774</c:v>
                </c:pt>
                <c:pt idx="210">
                  <c:v>403.81549475073143</c:v>
                </c:pt>
                <c:pt idx="211">
                  <c:v>419.69035123741787</c:v>
                </c:pt>
                <c:pt idx="212">
                  <c:v>435.35715684293831</c:v>
                </c:pt>
                <c:pt idx="213">
                  <c:v>450.81891250377925</c:v>
                </c:pt>
                <c:pt idx="214">
                  <c:v>466.07853064576176</c:v>
                </c:pt>
                <c:pt idx="215">
                  <c:v>481.13883852313722</c:v>
                </c:pt>
                <c:pt idx="216">
                  <c:v>496.00258139815611</c:v>
                </c:pt>
                <c:pt idx="217">
                  <c:v>510.67242557018722</c:v>
                </c:pt>
                <c:pt idx="218">
                  <c:v>525.15096126286517</c:v>
                </c:pt>
                <c:pt idx="219">
                  <c:v>539.44070537718778</c:v>
                </c:pt>
                <c:pt idx="220">
                  <c:v>553.54410411797232</c:v>
                </c:pt>
                <c:pt idx="221">
                  <c:v>567.46353550060269</c:v>
                </c:pt>
                <c:pt idx="222">
                  <c:v>581.20131174455946</c:v>
                </c:pt>
                <c:pt idx="223">
                  <c:v>594.75968155981388</c:v>
                </c:pt>
                <c:pt idx="224">
                  <c:v>608.14083233178872</c:v>
                </c:pt>
                <c:pt idx="225">
                  <c:v>621.34689221023393</c:v>
                </c:pt>
                <c:pt idx="226">
                  <c:v>634.3799321070386</c:v>
                </c:pt>
                <c:pt idx="227">
                  <c:v>647.24196760769382</c:v>
                </c:pt>
                <c:pt idx="228">
                  <c:v>659.9349608008381</c:v>
                </c:pt>
                <c:pt idx="229">
                  <c:v>672.46082203005176</c:v>
                </c:pt>
                <c:pt idx="230">
                  <c:v>684.821411571819</c:v>
                </c:pt>
                <c:pt idx="231">
                  <c:v>697.01854124334807</c:v>
                </c:pt>
                <c:pt idx="232">
                  <c:v>709.05397594372312</c:v>
                </c:pt>
                <c:pt idx="233">
                  <c:v>720.92943513166256</c:v>
                </c:pt>
                <c:pt idx="234">
                  <c:v>732.64659424296929</c:v>
                </c:pt>
                <c:pt idx="235">
                  <c:v>744.20708605058508</c:v>
                </c:pt>
                <c:pt idx="236">
                  <c:v>755.61250196999583</c:v>
                </c:pt>
                <c:pt idx="237">
                  <c:v>766.86439331258123</c:v>
                </c:pt>
                <c:pt idx="238">
                  <c:v>777.9642724893597</c:v>
                </c:pt>
                <c:pt idx="239">
                  <c:v>788.91361416744326</c:v>
                </c:pt>
                <c:pt idx="240">
                  <c:v>799.71385638139236</c:v>
                </c:pt>
                <c:pt idx="241">
                  <c:v>810.36640160154025</c:v>
                </c:pt>
                <c:pt idx="242">
                  <c:v>820.87261776124831</c:v>
                </c:pt>
                <c:pt idx="243">
                  <c:v>831.23383924494556</c:v>
                </c:pt>
                <c:pt idx="244">
                  <c:v>841.45136783871135</c:v>
                </c:pt>
                <c:pt idx="245">
                  <c:v>851.52647364506561</c:v>
                </c:pt>
                <c:pt idx="246">
                  <c:v>861.46039596354501</c:v>
                </c:pt>
                <c:pt idx="247">
                  <c:v>871.2543441385626</c:v>
                </c:pt>
                <c:pt idx="248">
                  <c:v>880.90949837597054</c:v>
                </c:pt>
                <c:pt idx="249">
                  <c:v>890.42701052967459</c:v>
                </c:pt>
                <c:pt idx="250">
                  <c:v>899.80800485958002</c:v>
                </c:pt>
                <c:pt idx="251">
                  <c:v>909.05357876208473</c:v>
                </c:pt>
                <c:pt idx="252">
                  <c:v>918.16480347427557</c:v>
                </c:pt>
                <c:pt idx="253">
                  <c:v>927.14272475292569</c:v>
                </c:pt>
                <c:pt idx="254">
                  <c:v>935.98836352933756</c:v>
                </c:pt>
                <c:pt idx="255">
                  <c:v>944.70271654102601</c:v>
                </c:pt>
                <c:pt idx="256">
                  <c:v>953.28675694118658</c:v>
                </c:pt>
                <c:pt idx="257">
                  <c:v>961.74143488685024</c:v>
                </c:pt>
                <c:pt idx="258">
                  <c:v>970.06767810658221</c:v>
                </c:pt>
                <c:pt idx="259">
                  <c:v>978.26639244854175</c:v>
                </c:pt>
                <c:pt idx="260">
                  <c:v>986.33846240968307</c:v>
                </c:pt>
                <c:pt idx="261">
                  <c:v>994.28475164683925</c:v>
                </c:pt>
                <c:pt idx="262">
                  <c:v>1002.1061034703989</c:v>
                </c:pt>
                <c:pt idx="263">
                  <c:v>1009.8033413212518</c:v>
                </c:pt>
                <c:pt idx="264">
                  <c:v>1017.3772692316491</c:v>
                </c:pt>
                <c:pt idx="265">
                  <c:v>1024.8286722705955</c:v>
                </c:pt>
                <c:pt idx="266">
                  <c:v>1032.1583169743626</c:v>
                </c:pt>
                <c:pt idx="267">
                  <c:v>1039.3669517626879</c:v>
                </c:pt>
                <c:pt idx="268">
                  <c:v>1046.4553073411971</c:v>
                </c:pt>
                <c:pt idx="269">
                  <c:v>1053.4240970905671</c:v>
                </c:pt>
                <c:pt idx="270">
                  <c:v>1060.2740174429241</c:v>
                </c:pt>
                <c:pt idx="271">
                  <c:v>1067.0057482459481</c:v>
                </c:pt>
                <c:pt idx="272">
                  <c:v>1073.6199531151399</c:v>
                </c:pt>
                <c:pt idx="273">
                  <c:v>1080.1172797746847</c:v>
                </c:pt>
                <c:pt idx="274">
                  <c:v>1086.4983603873304</c:v>
                </c:pt>
                <c:pt idx="275">
                  <c:v>1092.7638118736825</c:v>
                </c:pt>
                <c:pt idx="276">
                  <c:v>1098.9142362213017</c:v>
                </c:pt>
                <c:pt idx="277">
                  <c:v>1104.9502207839757</c:v>
                </c:pt>
                <c:pt idx="278">
                  <c:v>1110.872338571523</c:v>
                </c:pt>
                <c:pt idx="279">
                  <c:v>1116.6811485304743</c:v>
                </c:pt>
                <c:pt idx="280">
                  <c:v>1122.3771958159673</c:v>
                </c:pt>
                <c:pt idx="281">
                  <c:v>1127.9610120551733</c:v>
                </c:pt>
                <c:pt idx="282">
                  <c:v>1133.433115602573</c:v>
                </c:pt>
                <c:pt idx="283">
                  <c:v>1138.7940117873825</c:v>
                </c:pt>
                <c:pt idx="284">
                  <c:v>1144.0441931534258</c:v>
                </c:pt>
                <c:pt idx="285">
                  <c:v>1149.1841396917414</c:v>
                </c:pt>
                <c:pt idx="286">
                  <c:v>1154.2143190662048</c:v>
                </c:pt>
                <c:pt idx="287">
                  <c:v>1159.135186832443</c:v>
                </c:pt>
                <c:pt idx="288">
                  <c:v>1163.9471866503125</c:v>
                </c:pt>
                <c:pt idx="289">
                  <c:v>1168.6507504902074</c:v>
                </c:pt>
                <c:pt idx="290">
                  <c:v>1173.2462988334648</c:v>
                </c:pt>
                <c:pt idx="291">
                  <c:v>1177.7342408671295</c:v>
                </c:pt>
                <c:pt idx="292">
                  <c:v>1182.1149746733431</c:v>
                </c:pt>
                <c:pt idx="293">
                  <c:v>1186.3888874136219</c:v>
                </c:pt>
                <c:pt idx="294">
                  <c:v>1190.5563555082904</c:v>
                </c:pt>
                <c:pt idx="295">
                  <c:v>1194.6177448113428</c:v>
                </c:pt>
                <c:pt idx="296">
                  <c:v>1198.5734107810081</c:v>
                </c:pt>
                <c:pt idx="297">
                  <c:v>1202.4236986463043</c:v>
                </c:pt>
                <c:pt idx="298">
                  <c:v>1206.1689435698759</c:v>
                </c:pt>
                <c:pt idx="299">
                  <c:v>1209.8094708074188</c:v>
                </c:pt>
                <c:pt idx="300">
                  <c:v>1213.3455958640129</c:v>
                </c:pt>
                <c:pt idx="301">
                  <c:v>1216.7776246476992</c:v>
                </c:pt>
                <c:pt idx="302">
                  <c:v>1220.1058536206554</c:v>
                </c:pt>
                <c:pt idx="303">
                  <c:v>1223.330569948349</c:v>
                </c:pt>
                <c:pt idx="304">
                  <c:v>1226.4520516470727</c:v>
                </c:pt>
                <c:pt idx="305">
                  <c:v>1229.4705677302945</c:v>
                </c:pt>
                <c:pt idx="306">
                  <c:v>1232.3863783542913</c:v>
                </c:pt>
                <c:pt idx="307">
                  <c:v>1235.1997349635717</c:v>
                </c:pt>
                <c:pt idx="308">
                  <c:v>1237.9108804366369</c:v>
                </c:pt>
                <c:pt idx="309">
                  <c:v>1240.5200492326746</c:v>
                </c:pt>
                <c:pt idx="310">
                  <c:v>1243.0274675398355</c:v>
                </c:pt>
                <c:pt idx="311">
                  <c:v>1245.4333534257978</c:v>
                </c:pt>
                <c:pt idx="312">
                  <c:v>1247.7379169913879</c:v>
                </c:pt>
                <c:pt idx="313">
                  <c:v>1249.9413605280918</c:v>
                </c:pt>
                <c:pt idx="314">
                  <c:v>1252.0438786803609</c:v>
                </c:pt>
                <c:pt idx="315">
                  <c:v>1254.0456586136913</c:v>
                </c:pt>
                <c:pt idx="316">
                  <c:v>1255.9468801895273</c:v>
                </c:pt>
                <c:pt idx="317">
                  <c:v>1257.7477161481102</c:v>
                </c:pt>
                <c:pt idx="318">
                  <c:v>1259.448332300469</c:v>
                </c:pt>
                <c:pt idx="319">
                  <c:v>1261.0488877308003</c:v>
                </c:pt>
                <c:pt idx="320">
                  <c:v>1262.549535010538</c:v>
                </c:pt>
                <c:pt idx="321">
                  <c:v>1263.9504204254413</c:v>
                </c:pt>
                <c:pt idx="322">
                  <c:v>1265.2516842170298</c:v>
                </c:pt>
                <c:pt idx="323">
                  <c:v>1266.4534608396687</c:v>
                </c:pt>
                <c:pt idx="324">
                  <c:v>1267.5558792345321</c:v>
                </c:pt>
                <c:pt idx="325">
                  <c:v>1268.5590631215575</c:v>
                </c:pt>
                <c:pt idx="326">
                  <c:v>1269.4631313103207</c:v>
                </c:pt>
                <c:pt idx="327">
                  <c:v>1270.2681980305276</c:v>
                </c:pt>
                <c:pt idx="328">
                  <c:v>1270.9743732825063</c:v>
                </c:pt>
                <c:pt idx="329">
                  <c:v>1271.581763207711</c:v>
                </c:pt>
                <c:pt idx="330">
                  <c:v>1272.0904704788122</c:v>
                </c:pt>
                <c:pt idx="331">
                  <c:v>1272.5005947084585</c:v>
                </c:pt>
                <c:pt idx="332">
                  <c:v>1272.8122328752654</c:v>
                </c:pt>
                <c:pt idx="333">
                  <c:v>1273.0254797650553</c:v>
                </c:pt>
                <c:pt idx="334">
                  <c:v>1273.1404284248381</c:v>
                </c:pt>
                <c:pt idx="335">
                  <c:v>1273.1571706265424</c:v>
                </c:pt>
                <c:pt idx="336">
                  <c:v>1273.0757973370996</c:v>
                </c:pt>
                <c:pt idx="337">
                  <c:v>1272.8963991911698</c:v>
                </c:pt>
                <c:pt idx="338">
                  <c:v>1272.6190669626224</c:v>
                </c:pt>
                <c:pt idx="339">
                  <c:v>1272.2438920308314</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108.56913506968577</c:v>
                </c:pt>
              </c:numCache>
            </c:numRef>
          </c:xVal>
          <c:yVal>
            <c:numRef>
              <c:f>Trajecto!$C$158</c:f>
              <c:numCache>
                <c:formatCode>0</c:formatCode>
                <c:ptCount val="1"/>
                <c:pt idx="0">
                  <c:v>635.88548341897297</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649.83051937394021</c:v>
                </c:pt>
              </c:numCache>
            </c:numRef>
          </c:xVal>
          <c:yVal>
            <c:numRef>
              <c:f>Trajecto!$C$159</c:f>
              <c:numCache>
                <c:formatCode>0</c:formatCode>
                <c:ptCount val="1"/>
                <c:pt idx="0">
                  <c:v>636.57021421241905</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{8B6DFE37-AC19-4D8B-917A-FBF55942AF2B}</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420.1339788956879</c:v>
                </c:pt>
                <c:pt idx="1">
                  <c:v>443.1339788956879</c:v>
                </c:pt>
                <c:pt idx="2">
                  <c:v>443.1339788956879</c:v>
                </c:pt>
                <c:pt idx="3">
                  <c:v>420.1339788956879</c:v>
                </c:pt>
                <c:pt idx="4">
                  <c:v>443.1339788956879</c:v>
                </c:pt>
                <c:pt idx="5">
                  <c:v>443.1339788956879</c:v>
                </c:pt>
                <c:pt idx="6">
                  <c:v>428.1339788956879</c:v>
                </c:pt>
                <c:pt idx="7">
                  <c:v>428.1339788956879</c:v>
                </c:pt>
                <c:pt idx="8">
                  <c:v>443.1339788956879</c:v>
                </c:pt>
                <c:pt idx="9">
                  <c:v>428.1339788956879</c:v>
                </c:pt>
                <c:pt idx="10">
                  <c:v>427.73397889568793</c:v>
                </c:pt>
                <c:pt idx="11">
                  <c:v>426.93397889568791</c:v>
                </c:pt>
                <c:pt idx="12">
                  <c:v>426.1339788956879</c:v>
                </c:pt>
                <c:pt idx="13">
                  <c:v>425.1339788956879</c:v>
                </c:pt>
                <c:pt idx="14">
                  <c:v>423.93397889568791</c:v>
                </c:pt>
                <c:pt idx="15">
                  <c:v>420.1339788956879</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420.1339788956879</c:v>
                </c:pt>
                <c:pt idx="1">
                  <c:v>397.1339788956879</c:v>
                </c:pt>
                <c:pt idx="2">
                  <c:v>397.1339788956879</c:v>
                </c:pt>
                <c:pt idx="3">
                  <c:v>420.1339788956879</c:v>
                </c:pt>
                <c:pt idx="4">
                  <c:v>397.1339788956879</c:v>
                </c:pt>
                <c:pt idx="5">
                  <c:v>397.1339788956879</c:v>
                </c:pt>
                <c:pt idx="6">
                  <c:v>412.1339788956879</c:v>
                </c:pt>
                <c:pt idx="7">
                  <c:v>412.1339788956879</c:v>
                </c:pt>
                <c:pt idx="8">
                  <c:v>397.1339788956879</c:v>
                </c:pt>
                <c:pt idx="9">
                  <c:v>412.1339788956879</c:v>
                </c:pt>
                <c:pt idx="10">
                  <c:v>412.53397889568788</c:v>
                </c:pt>
                <c:pt idx="11">
                  <c:v>413.33397889568789</c:v>
                </c:pt>
                <c:pt idx="12">
                  <c:v>414.1339788956879</c:v>
                </c:pt>
                <c:pt idx="13">
                  <c:v>415.1339788956879</c:v>
                </c:pt>
                <c:pt idx="14">
                  <c:v>416.33397889568789</c:v>
                </c:pt>
                <c:pt idx="15">
                  <c:v>420.1339788956879</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{52C8AD3A-A0F5-4CBC-827C-F8AC78041C2A}</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420.1339788956879</c:v>
                </c:pt>
                <c:pt idx="1">
                  <c:v>420.1339788956879</c:v>
                </c:pt>
                <c:pt idx="2">
                  <c:v>430.1339788956879</c:v>
                </c:pt>
                <c:pt idx="3">
                  <c:v>420.1339788956879</c:v>
                </c:pt>
                <c:pt idx="4">
                  <c:v>430.1339788956879</c:v>
                </c:pt>
                <c:pt idx="5">
                  <c:v>433.1339788956879</c:v>
                </c:pt>
                <c:pt idx="6">
                  <c:v>437.1339788956879</c:v>
                </c:pt>
                <c:pt idx="7">
                  <c:v>440.1339788956879</c:v>
                </c:pt>
                <c:pt idx="8">
                  <c:v>445.1339788956879</c:v>
                </c:pt>
                <c:pt idx="9">
                  <c:v>450.1339788956879</c:v>
                </c:pt>
                <c:pt idx="10">
                  <c:v>456.1339788956879</c:v>
                </c:pt>
                <c:pt idx="11">
                  <c:v>468.1339788956879</c:v>
                </c:pt>
                <c:pt idx="12">
                  <c:v>482.1339788956879</c:v>
                </c:pt>
                <c:pt idx="13">
                  <c:v>457.1339788956879</c:v>
                </c:pt>
                <c:pt idx="14">
                  <c:v>450.1339788956879</c:v>
                </c:pt>
                <c:pt idx="15">
                  <c:v>435.1339788956879</c:v>
                </c:pt>
                <c:pt idx="16">
                  <c:v>420.1339788956879</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420.1339788956879</c:v>
                </c:pt>
                <c:pt idx="1">
                  <c:v>420.1339788956879</c:v>
                </c:pt>
                <c:pt idx="2">
                  <c:v>410.1339788956879</c:v>
                </c:pt>
                <c:pt idx="3">
                  <c:v>420.1339788956879</c:v>
                </c:pt>
                <c:pt idx="4">
                  <c:v>410.1339788956879</c:v>
                </c:pt>
                <c:pt idx="5">
                  <c:v>407.1339788956879</c:v>
                </c:pt>
                <c:pt idx="6">
                  <c:v>403.1339788956879</c:v>
                </c:pt>
                <c:pt idx="7">
                  <c:v>400.1339788956879</c:v>
                </c:pt>
                <c:pt idx="8">
                  <c:v>395.1339788956879</c:v>
                </c:pt>
                <c:pt idx="9">
                  <c:v>390.1339788956879</c:v>
                </c:pt>
                <c:pt idx="10">
                  <c:v>384.1339788956879</c:v>
                </c:pt>
                <c:pt idx="11">
                  <c:v>372.1339788956879</c:v>
                </c:pt>
                <c:pt idx="12">
                  <c:v>358.1339788956879</c:v>
                </c:pt>
                <c:pt idx="13">
                  <c:v>383.1339788956879</c:v>
                </c:pt>
                <c:pt idx="14">
                  <c:v>390.1339788956879</c:v>
                </c:pt>
                <c:pt idx="15">
                  <c:v>405.1339788956879</c:v>
                </c:pt>
                <c:pt idx="16">
                  <c:v>420.1339788956879</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420.1339788956879</c:v>
                </c:pt>
                <c:pt idx="1">
                  <c:v>437.1339788956879</c:v>
                </c:pt>
                <c:pt idx="2">
                  <c:v>431.1339788956879</c:v>
                </c:pt>
                <c:pt idx="3">
                  <c:v>420.1339788956879</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420.1339788956879</c:v>
                </c:pt>
                <c:pt idx="1">
                  <c:v>403.1339788956879</c:v>
                </c:pt>
                <c:pt idx="2">
                  <c:v>409.1339788956879</c:v>
                </c:pt>
                <c:pt idx="3">
                  <c:v>420.1339788956879</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{71B4CF04-3B69-4D9F-B948-56D28ED36F5F}</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434.27654027874308</c:v>
                </c:pt>
                <c:pt idx="1">
                  <c:v>434.27654027874308</c:v>
                </c:pt>
                <c:pt idx="2">
                  <c:v>434.27654027874308</c:v>
                </c:pt>
                <c:pt idx="3">
                  <c:v>466.07081444969174</c:v>
                </c:pt>
                <c:pt idx="4">
                  <c:v>434.27654027874308</c:v>
                </c:pt>
                <c:pt idx="5">
                  <c:v>402.48226610779443</c:v>
                </c:pt>
                <c:pt idx="6">
                  <c:v>434.27654027874308</c:v>
                </c:pt>
              </c:numCache>
            </c:numRef>
          </c:xVal>
          <c:yVal>
            <c:numRef>
              <c:f>Trajecto!$C$124:$C$130</c:f>
              <c:numCache>
                <c:formatCode>0</c:formatCode>
                <c:ptCount val="7"/>
                <c:pt idx="0">
                  <c:v>1271.7709668379459</c:v>
                </c:pt>
                <c:pt idx="1">
                  <c:v>635.88548341897297</c:v>
                </c:pt>
                <c:pt idx="2">
                  <c:v>0</c:v>
                </c:pt>
                <c:pt idx="3">
                  <c:v>63.588548341897294</c:v>
                </c:pt>
                <c:pt idx="4">
                  <c:v>0</c:v>
                </c:pt>
                <c:pt idx="5">
                  <c:v>63.588548341897294</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1273.1404284248381</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3.0000000000000022</c:v>
                </c:pt>
                <c:pt idx="211">
                  <c:v>#N/A</c:v>
                </c:pt>
                <c:pt idx="212">
                  <c:v>#N/A</c:v>
                </c:pt>
                <c:pt idx="213">
                  <c:v>#N/A</c:v>
                </c:pt>
                <c:pt idx="214">
                  <c:v>#N/A</c:v>
                </c:pt>
                <c:pt idx="215">
                  <c:v>#N/A</c:v>
                </c:pt>
                <c:pt idx="216">
                  <c:v>#N/A</c:v>
                </c:pt>
                <c:pt idx="217">
                  <c:v>#N/A</c:v>
                </c:pt>
                <c:pt idx="218">
                  <c:v>#N/A</c:v>
                </c:pt>
                <c:pt idx="219">
                  <c:v>#N/A</c:v>
                </c:pt>
                <c:pt idx="220">
                  <c:v>4.0000000000000027</c:v>
                </c:pt>
                <c:pt idx="221">
                  <c:v>#N/A</c:v>
                </c:pt>
                <c:pt idx="222">
                  <c:v>#N/A</c:v>
                </c:pt>
                <c:pt idx="223">
                  <c:v>#N/A</c:v>
                </c:pt>
                <c:pt idx="224">
                  <c:v>#N/A</c:v>
                </c:pt>
                <c:pt idx="225">
                  <c:v>#N/A</c:v>
                </c:pt>
                <c:pt idx="226">
                  <c:v>#N/A</c:v>
                </c:pt>
                <c:pt idx="227">
                  <c:v>#N/A</c:v>
                </c:pt>
                <c:pt idx="228">
                  <c:v>#N/A</c:v>
                </c:pt>
                <c:pt idx="229">
                  <c:v>#N/A</c:v>
                </c:pt>
                <c:pt idx="230">
                  <c:v>4.9999999999999991</c:v>
                </c:pt>
                <c:pt idx="231">
                  <c:v>#N/A</c:v>
                </c:pt>
                <c:pt idx="232">
                  <c:v>#N/A</c:v>
                </c:pt>
                <c:pt idx="233">
                  <c:v>#N/A</c:v>
                </c:pt>
                <c:pt idx="234">
                  <c:v>#N/A</c:v>
                </c:pt>
                <c:pt idx="235">
                  <c:v>#N/A</c:v>
                </c:pt>
                <c:pt idx="236">
                  <c:v>#N/A</c:v>
                </c:pt>
                <c:pt idx="237">
                  <c:v>#N/A</c:v>
                </c:pt>
                <c:pt idx="238">
                  <c:v>#N/A</c:v>
                </c:pt>
                <c:pt idx="239">
                  <c:v>#N/A</c:v>
                </c:pt>
                <c:pt idx="240">
                  <c:v>5.9999999999999956</c:v>
                </c:pt>
                <c:pt idx="241">
                  <c:v>#N/A</c:v>
                </c:pt>
                <c:pt idx="242">
                  <c:v>#N/A</c:v>
                </c:pt>
                <c:pt idx="243">
                  <c:v>#N/A</c:v>
                </c:pt>
                <c:pt idx="244">
                  <c:v>#N/A</c:v>
                </c:pt>
                <c:pt idx="245">
                  <c:v>#N/A</c:v>
                </c:pt>
                <c:pt idx="246">
                  <c:v>#N/A</c:v>
                </c:pt>
                <c:pt idx="247">
                  <c:v>#N/A</c:v>
                </c:pt>
                <c:pt idx="248">
                  <c:v>#N/A</c:v>
                </c:pt>
                <c:pt idx="249">
                  <c:v>#N/A</c:v>
                </c:pt>
                <c:pt idx="250">
                  <c:v>6.999999999999992</c:v>
                </c:pt>
                <c:pt idx="251">
                  <c:v>#N/A</c:v>
                </c:pt>
                <c:pt idx="252">
                  <c:v>#N/A</c:v>
                </c:pt>
                <c:pt idx="253">
                  <c:v>#N/A</c:v>
                </c:pt>
                <c:pt idx="254">
                  <c:v>#N/A</c:v>
                </c:pt>
                <c:pt idx="255">
                  <c:v>#N/A</c:v>
                </c:pt>
                <c:pt idx="256">
                  <c:v>#N/A</c:v>
                </c:pt>
                <c:pt idx="257">
                  <c:v>#N/A</c:v>
                </c:pt>
                <c:pt idx="258">
                  <c:v>#N/A</c:v>
                </c:pt>
                <c:pt idx="259">
                  <c:v>#N/A</c:v>
                </c:pt>
                <c:pt idx="260">
                  <c:v>7.9999999999999885</c:v>
                </c:pt>
                <c:pt idx="261">
                  <c:v>#N/A</c:v>
                </c:pt>
                <c:pt idx="262">
                  <c:v>#N/A</c:v>
                </c:pt>
                <c:pt idx="263">
                  <c:v>#N/A</c:v>
                </c:pt>
                <c:pt idx="264">
                  <c:v>#N/A</c:v>
                </c:pt>
                <c:pt idx="265">
                  <c:v>#N/A</c:v>
                </c:pt>
                <c:pt idx="266">
                  <c:v>#N/A</c:v>
                </c:pt>
                <c:pt idx="267">
                  <c:v>#N/A</c:v>
                </c:pt>
                <c:pt idx="268">
                  <c:v>#N/A</c:v>
                </c:pt>
                <c:pt idx="269">
                  <c:v>#N/A</c:v>
                </c:pt>
                <c:pt idx="270">
                  <c:v>8.9999999999999858</c:v>
                </c:pt>
                <c:pt idx="271">
                  <c:v>#N/A</c:v>
                </c:pt>
                <c:pt idx="272">
                  <c:v>#N/A</c:v>
                </c:pt>
                <c:pt idx="273">
                  <c:v>#N/A</c:v>
                </c:pt>
                <c:pt idx="274">
                  <c:v>#N/A</c:v>
                </c:pt>
                <c:pt idx="275">
                  <c:v>#N/A</c:v>
                </c:pt>
                <c:pt idx="276">
                  <c:v>#N/A</c:v>
                </c:pt>
                <c:pt idx="277">
                  <c:v>#N/A</c:v>
                </c:pt>
                <c:pt idx="278">
                  <c:v>#N/A</c:v>
                </c:pt>
                <c:pt idx="279">
                  <c:v>#N/A</c:v>
                </c:pt>
                <c:pt idx="280">
                  <c:v>9.9999999999999822</c:v>
                </c:pt>
                <c:pt idx="281">
                  <c:v>#N/A</c:v>
                </c:pt>
                <c:pt idx="282">
                  <c:v>#N/A</c:v>
                </c:pt>
                <c:pt idx="283">
                  <c:v>#N/A</c:v>
                </c:pt>
                <c:pt idx="284">
                  <c:v>#N/A</c:v>
                </c:pt>
                <c:pt idx="285">
                  <c:v>#N/A</c:v>
                </c:pt>
                <c:pt idx="286">
                  <c:v>#N/A</c:v>
                </c:pt>
                <c:pt idx="287">
                  <c:v>#N/A</c:v>
                </c:pt>
                <c:pt idx="288">
                  <c:v>#N/A</c:v>
                </c:pt>
                <c:pt idx="289">
                  <c:v>#N/A</c:v>
                </c:pt>
                <c:pt idx="290">
                  <c:v>10.999999999999979</c:v>
                </c:pt>
                <c:pt idx="291">
                  <c:v>#N/A</c:v>
                </c:pt>
                <c:pt idx="292">
                  <c:v>#N/A</c:v>
                </c:pt>
                <c:pt idx="293">
                  <c:v>#N/A</c:v>
                </c:pt>
                <c:pt idx="294">
                  <c:v>#N/A</c:v>
                </c:pt>
                <c:pt idx="295">
                  <c:v>#N/A</c:v>
                </c:pt>
                <c:pt idx="296">
                  <c:v>#N/A</c:v>
                </c:pt>
                <c:pt idx="297">
                  <c:v>#N/A</c:v>
                </c:pt>
                <c:pt idx="298">
                  <c:v>#N/A</c:v>
                </c:pt>
                <c:pt idx="299">
                  <c:v>#N/A</c:v>
                </c:pt>
                <c:pt idx="300">
                  <c:v>11.999999999999975</c:v>
                </c:pt>
                <c:pt idx="301">
                  <c:v>#N/A</c:v>
                </c:pt>
                <c:pt idx="302">
                  <c:v>#N/A</c:v>
                </c:pt>
                <c:pt idx="303">
                  <c:v>#N/A</c:v>
                </c:pt>
                <c:pt idx="304">
                  <c:v>#N/A</c:v>
                </c:pt>
                <c:pt idx="305">
                  <c:v>#N/A</c:v>
                </c:pt>
                <c:pt idx="306">
                  <c:v>#N/A</c:v>
                </c:pt>
                <c:pt idx="307">
                  <c:v>#N/A</c:v>
                </c:pt>
                <c:pt idx="308">
                  <c:v>#N/A</c:v>
                </c:pt>
                <c:pt idx="309">
                  <c:v>#N/A</c:v>
                </c:pt>
                <c:pt idx="310">
                  <c:v>12.999999999999972</c:v>
                </c:pt>
                <c:pt idx="311">
                  <c:v>#N/A</c:v>
                </c:pt>
                <c:pt idx="312">
                  <c:v>#N/A</c:v>
                </c:pt>
                <c:pt idx="313">
                  <c:v>#N/A</c:v>
                </c:pt>
                <c:pt idx="314">
                  <c:v>#N/A</c:v>
                </c:pt>
                <c:pt idx="315">
                  <c:v>#N/A</c:v>
                </c:pt>
                <c:pt idx="316">
                  <c:v>#N/A</c:v>
                </c:pt>
                <c:pt idx="317">
                  <c:v>#N/A</c:v>
                </c:pt>
                <c:pt idx="318">
                  <c:v>#N/A</c:v>
                </c:pt>
                <c:pt idx="319">
                  <c:v>#N/A</c:v>
                </c:pt>
                <c:pt idx="320">
                  <c:v>13.999999999999968</c:v>
                </c:pt>
                <c:pt idx="321">
                  <c:v>#N/A</c:v>
                </c:pt>
                <c:pt idx="322">
                  <c:v>#N/A</c:v>
                </c:pt>
                <c:pt idx="323">
                  <c:v>#N/A</c:v>
                </c:pt>
                <c:pt idx="324">
                  <c:v>#N/A</c:v>
                </c:pt>
                <c:pt idx="325">
                  <c:v>#N/A</c:v>
                </c:pt>
                <c:pt idx="326">
                  <c:v>#N/A</c:v>
                </c:pt>
                <c:pt idx="327">
                  <c:v>#N/A</c:v>
                </c:pt>
                <c:pt idx="328">
                  <c:v>#N/A</c:v>
                </c:pt>
                <c:pt idx="329">
                  <c:v>#N/A</c:v>
                </c:pt>
                <c:pt idx="330">
                  <c:v>14.999999999999964</c:v>
                </c:pt>
                <c:pt idx="331">
                  <c:v>#N/A</c:v>
                </c:pt>
                <c:pt idx="332">
                  <c:v>#N/A</c:v>
                </c:pt>
                <c:pt idx="333">
                  <c:v>#N/A</c:v>
                </c:pt>
                <c:pt idx="334">
                  <c:v>#N/A</c:v>
                </c:pt>
                <c:pt idx="335">
                  <c:v>#N/A</c:v>
                </c:pt>
                <c:pt idx="336">
                  <c:v>#N/A</c:v>
                </c:pt>
                <c:pt idx="337">
                  <c:v>#N/A</c:v>
                </c:pt>
                <c:pt idx="338">
                  <c:v>#N/A</c:v>
                </c:pt>
                <c:pt idx="339">
                  <c:v>#N/A</c:v>
                </c:pt>
                <c:pt idx="340">
                  <c:v>15.999999999999961</c:v>
                </c:pt>
                <c:pt idx="341">
                  <c:v>#N/A</c:v>
                </c:pt>
                <c:pt idx="342">
                  <c:v>#N/A</c:v>
                </c:pt>
                <c:pt idx="343">
                  <c:v>#N/A</c:v>
                </c:pt>
                <c:pt idx="344">
                  <c:v>#N/A</c:v>
                </c:pt>
                <c:pt idx="345">
                  <c:v>#N/A</c:v>
                </c:pt>
                <c:pt idx="346">
                  <c:v>#N/A</c:v>
                </c:pt>
                <c:pt idx="347">
                  <c:v>#N/A</c:v>
                </c:pt>
                <c:pt idx="348">
                  <c:v>#N/A</c:v>
                </c:pt>
                <c:pt idx="349">
                  <c:v>#N/A</c:v>
                </c:pt>
                <c:pt idx="350">
                  <c:v>16.999999999999975</c:v>
                </c:pt>
                <c:pt idx="351">
                  <c:v>#N/A</c:v>
                </c:pt>
                <c:pt idx="352">
                  <c:v>#N/A</c:v>
                </c:pt>
                <c:pt idx="353">
                  <c:v>#N/A</c:v>
                </c:pt>
                <c:pt idx="354">
                  <c:v>#N/A</c:v>
                </c:pt>
                <c:pt idx="355">
                  <c:v>#N/A</c:v>
                </c:pt>
                <c:pt idx="356">
                  <c:v>#N/A</c:v>
                </c:pt>
                <c:pt idx="357">
                  <c:v>#N/A</c:v>
                </c:pt>
                <c:pt idx="358">
                  <c:v>#N/A</c:v>
                </c:pt>
                <c:pt idx="359">
                  <c:v>#N/A</c:v>
                </c:pt>
                <c:pt idx="360">
                  <c:v>17.999999999999989</c:v>
                </c:pt>
                <c:pt idx="361">
                  <c:v>#N/A</c:v>
                </c:pt>
                <c:pt idx="362">
                  <c:v>#N/A</c:v>
                </c:pt>
                <c:pt idx="363">
                  <c:v>#N/A</c:v>
                </c:pt>
                <c:pt idx="364">
                  <c:v>#N/A</c:v>
                </c:pt>
                <c:pt idx="365">
                  <c:v>#N/A</c:v>
                </c:pt>
                <c:pt idx="366">
                  <c:v>#N/A</c:v>
                </c:pt>
                <c:pt idx="367">
                  <c:v>#N/A</c:v>
                </c:pt>
                <c:pt idx="368">
                  <c:v>#N/A</c:v>
                </c:pt>
                <c:pt idx="369">
                  <c:v>#N/A</c:v>
                </c:pt>
                <c:pt idx="370">
                  <c:v>19.000000000000004</c:v>
                </c:pt>
                <c:pt idx="371">
                  <c:v>#N/A</c:v>
                </c:pt>
                <c:pt idx="372">
                  <c:v>#N/A</c:v>
                </c:pt>
                <c:pt idx="373">
                  <c:v>#N/A</c:v>
                </c:pt>
                <c:pt idx="374">
                  <c:v>#N/A</c:v>
                </c:pt>
                <c:pt idx="375">
                  <c:v>#N/A</c:v>
                </c:pt>
                <c:pt idx="376">
                  <c:v>#N/A</c:v>
                </c:pt>
                <c:pt idx="377">
                  <c:v>#N/A</c:v>
                </c:pt>
                <c:pt idx="378">
                  <c:v>#N/A</c:v>
                </c:pt>
                <c:pt idx="379">
                  <c:v>#N/A</c:v>
                </c:pt>
                <c:pt idx="380">
                  <c:v>20.000000000000018</c:v>
                </c:pt>
                <c:pt idx="381">
                  <c:v>#N/A</c:v>
                </c:pt>
                <c:pt idx="382">
                  <c:v>#N/A</c:v>
                </c:pt>
                <c:pt idx="383">
                  <c:v>#N/A</c:v>
                </c:pt>
                <c:pt idx="384">
                  <c:v>#N/A</c:v>
                </c:pt>
                <c:pt idx="385">
                  <c:v>#N/A</c:v>
                </c:pt>
                <c:pt idx="386">
                  <c:v>#N/A</c:v>
                </c:pt>
                <c:pt idx="387">
                  <c:v>#N/A</c:v>
                </c:pt>
                <c:pt idx="388">
                  <c:v>#N/A</c:v>
                </c:pt>
                <c:pt idx="389">
                  <c:v>#N/A</c:v>
                </c:pt>
                <c:pt idx="390">
                  <c:v>21.000000000000032</c:v>
                </c:pt>
                <c:pt idx="391">
                  <c:v>#N/A</c:v>
                </c:pt>
                <c:pt idx="392">
                  <c:v>#N/A</c:v>
                </c:pt>
                <c:pt idx="393">
                  <c:v>#N/A</c:v>
                </c:pt>
                <c:pt idx="394">
                  <c:v>#N/A</c:v>
                </c:pt>
                <c:pt idx="395">
                  <c:v>#N/A</c:v>
                </c:pt>
                <c:pt idx="396">
                  <c:v>#N/A</c:v>
                </c:pt>
                <c:pt idx="397">
                  <c:v>#N/A</c:v>
                </c:pt>
                <c:pt idx="398">
                  <c:v>#N/A</c:v>
                </c:pt>
                <c:pt idx="399">
                  <c:v>#N/A</c:v>
                </c:pt>
                <c:pt idx="400">
                  <c:v>22.000000000000046</c:v>
                </c:pt>
                <c:pt idx="401">
                  <c:v>#N/A</c:v>
                </c:pt>
                <c:pt idx="402">
                  <c:v>#N/A</c:v>
                </c:pt>
                <c:pt idx="403">
                  <c:v>#N/A</c:v>
                </c:pt>
                <c:pt idx="404">
                  <c:v>#N/A</c:v>
                </c:pt>
                <c:pt idx="405">
                  <c:v>#N/A</c:v>
                </c:pt>
                <c:pt idx="406">
                  <c:v>#N/A</c:v>
                </c:pt>
                <c:pt idx="407">
                  <c:v>#N/A</c:v>
                </c:pt>
                <c:pt idx="408">
                  <c:v>#N/A</c:v>
                </c:pt>
                <c:pt idx="409">
                  <c:v>#N/A</c:v>
                </c:pt>
                <c:pt idx="410">
                  <c:v>23.00000000000006</c:v>
                </c:pt>
                <c:pt idx="411">
                  <c:v>#N/A</c:v>
                </c:pt>
                <c:pt idx="412">
                  <c:v>#N/A</c:v>
                </c:pt>
                <c:pt idx="413">
                  <c:v>#N/A</c:v>
                </c:pt>
                <c:pt idx="414">
                  <c:v>#N/A</c:v>
                </c:pt>
                <c:pt idx="415">
                  <c:v>#N/A</c:v>
                </c:pt>
                <c:pt idx="416">
                  <c:v>#N/A</c:v>
                </c:pt>
                <c:pt idx="417">
                  <c:v>#N/A</c:v>
                </c:pt>
                <c:pt idx="418">
                  <c:v>#N/A</c:v>
                </c:pt>
                <c:pt idx="419">
                  <c:v>#N/A</c:v>
                </c:pt>
                <c:pt idx="420">
                  <c:v>24.000000000000075</c:v>
                </c:pt>
                <c:pt idx="421">
                  <c:v>#N/A</c:v>
                </c:pt>
                <c:pt idx="422">
                  <c:v>#N/A</c:v>
                </c:pt>
                <c:pt idx="423">
                  <c:v>#N/A</c:v>
                </c:pt>
                <c:pt idx="424">
                  <c:v>#N/A</c:v>
                </c:pt>
                <c:pt idx="425">
                  <c:v>#N/A</c:v>
                </c:pt>
                <c:pt idx="426">
                  <c:v>#N/A</c:v>
                </c:pt>
                <c:pt idx="427">
                  <c:v>#N/A</c:v>
                </c:pt>
                <c:pt idx="428">
                  <c:v>#N/A</c:v>
                </c:pt>
                <c:pt idx="429">
                  <c:v>#N/A</c:v>
                </c:pt>
                <c:pt idx="430">
                  <c:v>25.000000000000089</c:v>
                </c:pt>
                <c:pt idx="431">
                  <c:v>#N/A</c:v>
                </c:pt>
                <c:pt idx="432">
                  <c:v>#N/A</c:v>
                </c:pt>
                <c:pt idx="433">
                  <c:v>#N/A</c:v>
                </c:pt>
                <c:pt idx="434">
                  <c:v>#N/A</c:v>
                </c:pt>
                <c:pt idx="435">
                  <c:v>#N/A</c:v>
                </c:pt>
                <c:pt idx="436">
                  <c:v>#N/A</c:v>
                </c:pt>
                <c:pt idx="437">
                  <c:v>#N/A</c:v>
                </c:pt>
                <c:pt idx="438">
                  <c:v>#N/A</c:v>
                </c:pt>
                <c:pt idx="439">
                  <c:v>#N/A</c:v>
                </c:pt>
                <c:pt idx="440">
                  <c:v>26.000000000000103</c:v>
                </c:pt>
                <c:pt idx="441">
                  <c:v>#N/A</c:v>
                </c:pt>
                <c:pt idx="442">
                  <c:v>#N/A</c:v>
                </c:pt>
                <c:pt idx="443">
                  <c:v>#N/A</c:v>
                </c:pt>
                <c:pt idx="444">
                  <c:v>#N/A</c:v>
                </c:pt>
                <c:pt idx="445">
                  <c:v>#N/A</c:v>
                </c:pt>
                <c:pt idx="446">
                  <c:v>#N/A</c:v>
                </c:pt>
                <c:pt idx="447">
                  <c:v>#N/A</c:v>
                </c:pt>
                <c:pt idx="448">
                  <c:v>#N/A</c:v>
                </c:pt>
                <c:pt idx="449">
                  <c:v>#N/A</c:v>
                </c:pt>
                <c:pt idx="450">
                  <c:v>27.000000000000117</c:v>
                </c:pt>
                <c:pt idx="451">
                  <c:v>#N/A</c:v>
                </c:pt>
                <c:pt idx="452">
                  <c:v>#N/A</c:v>
                </c:pt>
                <c:pt idx="453">
                  <c:v>#N/A</c:v>
                </c:pt>
                <c:pt idx="454">
                  <c:v>#N/A</c:v>
                </c:pt>
                <c:pt idx="455">
                  <c:v>#N/A</c:v>
                </c:pt>
                <c:pt idx="456">
                  <c:v>#N/A</c:v>
                </c:pt>
                <c:pt idx="457">
                  <c:v>#N/A</c:v>
                </c:pt>
                <c:pt idx="458">
                  <c:v>#N/A</c:v>
                </c:pt>
                <c:pt idx="459">
                  <c:v>#N/A</c:v>
                </c:pt>
                <c:pt idx="460">
                  <c:v>28.000000000000131</c:v>
                </c:pt>
                <c:pt idx="461">
                  <c:v>#N/A</c:v>
                </c:pt>
                <c:pt idx="462">
                  <c:v>#N/A</c:v>
                </c:pt>
                <c:pt idx="463">
                  <c:v>#N/A</c:v>
                </c:pt>
                <c:pt idx="464">
                  <c:v>#N/A</c:v>
                </c:pt>
                <c:pt idx="465">
                  <c:v>#N/A</c:v>
                </c:pt>
                <c:pt idx="466">
                  <c:v>#N/A</c:v>
                </c:pt>
                <c:pt idx="467">
                  <c:v>#N/A</c:v>
                </c:pt>
                <c:pt idx="468">
                  <c:v>#N/A</c:v>
                </c:pt>
                <c:pt idx="469">
                  <c:v>#N/A</c:v>
                </c:pt>
                <c:pt idx="470">
                  <c:v>29.000000000000146</c:v>
                </c:pt>
                <c:pt idx="471">
                  <c:v>#N/A</c:v>
                </c:pt>
                <c:pt idx="472">
                  <c:v>#N/A</c:v>
                </c:pt>
                <c:pt idx="473">
                  <c:v>#N/A</c:v>
                </c:pt>
                <c:pt idx="474">
                  <c:v>#N/A</c:v>
                </c:pt>
                <c:pt idx="475">
                  <c:v>#N/A</c:v>
                </c:pt>
                <c:pt idx="476">
                  <c:v>#N/A</c:v>
                </c:pt>
                <c:pt idx="477">
                  <c:v>#N/A</c:v>
                </c:pt>
                <c:pt idx="478">
                  <c:v>#N/A</c:v>
                </c:pt>
                <c:pt idx="479">
                  <c:v>#N/A</c:v>
                </c:pt>
                <c:pt idx="480">
                  <c:v>30.00000000000016</c:v>
                </c:pt>
                <c:pt idx="481">
                  <c:v>#N/A</c:v>
                </c:pt>
                <c:pt idx="482">
                  <c:v>#N/A</c:v>
                </c:pt>
                <c:pt idx="483">
                  <c:v>#N/A</c:v>
                </c:pt>
                <c:pt idx="484">
                  <c:v>#N/A</c:v>
                </c:pt>
                <c:pt idx="485">
                  <c:v>#N/A</c:v>
                </c:pt>
                <c:pt idx="486">
                  <c:v>#N/A</c:v>
                </c:pt>
                <c:pt idx="487">
                  <c:v>#N/A</c:v>
                </c:pt>
                <c:pt idx="488">
                  <c:v>#N/A</c:v>
                </c:pt>
                <c:pt idx="489">
                  <c:v>#N/A</c:v>
                </c:pt>
                <c:pt idx="490">
                  <c:v>31.000000000000174</c:v>
                </c:pt>
                <c:pt idx="491">
                  <c:v>#N/A</c:v>
                </c:pt>
                <c:pt idx="492">
                  <c:v>#N/A</c:v>
                </c:pt>
                <c:pt idx="493">
                  <c:v>#N/A</c:v>
                </c:pt>
                <c:pt idx="494">
                  <c:v>#N/A</c:v>
                </c:pt>
                <c:pt idx="495">
                  <c:v>#N/A</c:v>
                </c:pt>
                <c:pt idx="496">
                  <c:v>#N/A</c:v>
                </c:pt>
                <c:pt idx="497">
                  <c:v>#N/A</c:v>
                </c:pt>
                <c:pt idx="498">
                  <c:v>#N/A</c:v>
                </c:pt>
                <c:pt idx="499">
                  <c:v>#N/A</c:v>
                </c:pt>
                <c:pt idx="500">
                  <c:v>32.000000000000185</c:v>
                </c:pt>
                <c:pt idx="501">
                  <c:v>#N/A</c:v>
                </c:pt>
                <c:pt idx="502">
                  <c:v>#N/A</c:v>
                </c:pt>
                <c:pt idx="503">
                  <c:v>#N/A</c:v>
                </c:pt>
                <c:pt idx="504">
                  <c:v>#N/A</c:v>
                </c:pt>
                <c:pt idx="505">
                  <c:v>#N/A</c:v>
                </c:pt>
                <c:pt idx="506">
                  <c:v>#N/A</c:v>
                </c:pt>
                <c:pt idx="507">
                  <c:v>#N/A</c:v>
                </c:pt>
                <c:pt idx="508">
                  <c:v>#N/A</c:v>
                </c:pt>
                <c:pt idx="509">
                  <c:v>#N/A</c:v>
                </c:pt>
                <c:pt idx="510">
                  <c:v>33.000000000000199</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7.9588567858292995E-4</c:v>
                </c:pt>
                <c:pt idx="2">
                  <c:v>6.723482670051845E-3</c:v>
                </c:pt>
                <c:pt idx="3">
                  <c:v>2.3479711239899365E-2</c:v>
                </c:pt>
                <c:pt idx="4">
                  <c:v>5.2995906566015188E-2</c:v>
                </c:pt>
                <c:pt idx="5">
                  <c:v>9.4820262845367348E-2</c:v>
                </c:pt>
                <c:pt idx="6">
                  <c:v>0.14863784731109492</c:v>
                </c:pt>
                <c:pt idx="7">
                  <c:v>0.21440886054895564</c:v>
                </c:pt>
                <c:pt idx="8">
                  <c:v>0.29223128024106937</c:v>
                </c:pt>
                <c:pt idx="9">
                  <c:v>0.3822031479999124</c:v>
                </c:pt>
                <c:pt idx="10">
                  <c:v>0.48442256793887617</c:v>
                </c:pt>
                <c:pt idx="11">
                  <c:v>0.59897339643303338</c:v>
                </c:pt>
                <c:pt idx="12">
                  <c:v>0.72591089482237248</c:v>
                </c:pt>
                <c:pt idx="13">
                  <c:v>0.86527598194740496</c:v>
                </c:pt>
                <c:pt idx="14">
                  <c:v>1.0171095238995609</c:v>
                </c:pt>
                <c:pt idx="15">
                  <c:v>1.1814523328906639</c:v>
                </c:pt>
                <c:pt idx="16">
                  <c:v>1.3583451661181094</c:v>
                </c:pt>
                <c:pt idx="17">
                  <c:v>1.5478287246258078</c:v>
                </c:pt>
                <c:pt idx="18">
                  <c:v>1.7499436521609577</c:v>
                </c:pt>
                <c:pt idx="19">
                  <c:v>1.9647305340267165</c:v>
                </c:pt>
                <c:pt idx="20">
                  <c:v>2.1922298959308328</c:v>
                </c:pt>
                <c:pt idx="21">
                  <c:v>2.4324764613328229</c:v>
                </c:pt>
                <c:pt idx="22">
                  <c:v>2.6854933941468113</c:v>
                </c:pt>
                <c:pt idx="23">
                  <c:v>2.9512980178484214</c:v>
                </c:pt>
                <c:pt idx="24">
                  <c:v>3.2299075494554561</c:v>
                </c:pt>
                <c:pt idx="25">
                  <c:v>3.5213390988348241</c:v>
                </c:pt>
                <c:pt idx="26">
                  <c:v>3.8256096680122686</c:v>
                </c:pt>
                <c:pt idx="27">
                  <c:v>4.1427361504849607</c:v>
                </c:pt>
                <c:pt idx="28">
                  <c:v>4.4727205299112907</c:v>
                </c:pt>
                <c:pt idx="29">
                  <c:v>4.8155640809976488</c:v>
                </c:pt>
                <c:pt idx="30">
                  <c:v>5.1712821766383108</c:v>
                </c:pt>
                <c:pt idx="31">
                  <c:v>5.5398901022790819</c:v>
                </c:pt>
                <c:pt idx="32">
                  <c:v>5.9214030636097714</c:v>
                </c:pt>
                <c:pt idx="33">
                  <c:v>6.31583618389429</c:v>
                </c:pt>
                <c:pt idx="34">
                  <c:v>6.7232045014900033</c:v>
                </c:pt>
                <c:pt idx="35">
                  <c:v>7.1435229675339738</c:v>
                </c:pt>
                <c:pt idx="36">
                  <c:v>7.5768064437770102</c:v>
                </c:pt>
                <c:pt idx="37">
                  <c:v>8.0230697005491916</c:v>
                </c:pt>
                <c:pt idx="38">
                  <c:v>8.4823274148428052</c:v>
                </c:pt>
                <c:pt idx="39">
                  <c:v>8.9545941685005399</c:v>
                </c:pt>
                <c:pt idx="40">
                  <c:v>9.4398844464983878</c:v>
                </c:pt>
                <c:pt idx="41">
                  <c:v>9.938208170198962</c:v>
                </c:pt>
                <c:pt idx="42">
                  <c:v>10.449566220794946</c:v>
                </c:pt>
                <c:pt idx="43">
                  <c:v>10.973954889047857</c:v>
                </c:pt>
                <c:pt idx="44">
                  <c:v>11.511370335191106</c:v>
                </c:pt>
                <c:pt idx="45">
                  <c:v>12.061808587999941</c:v>
                </c:pt>
                <c:pt idx="46">
                  <c:v>12.625265543925277</c:v>
                </c:pt>
                <c:pt idx="47">
                  <c:v>13.20173696628637</c:v>
                </c:pt>
                <c:pt idx="48">
                  <c:v>13.79121848451787</c:v>
                </c:pt>
                <c:pt idx="49">
                  <c:v>14.393705593467239</c:v>
                </c:pt>
                <c:pt idx="50">
                  <c:v>15.009193652738984</c:v>
                </c:pt>
                <c:pt idx="51">
                  <c:v>15.637677886082503</c:v>
                </c:pt>
                <c:pt idx="52">
                  <c:v>16.279153380820645</c:v>
                </c:pt>
                <c:pt idx="53">
                  <c:v>16.933615087316426</c:v>
                </c:pt>
                <c:pt idx="54">
                  <c:v>17.601057818475532</c:v>
                </c:pt>
                <c:pt idx="55">
                  <c:v>18.28147624928253</c:v>
                </c:pt>
                <c:pt idx="56">
                  <c:v>18.97486491636883</c:v>
                </c:pt>
                <c:pt idx="57">
                  <c:v>19.681218217610695</c:v>
                </c:pt>
                <c:pt idx="58">
                  <c:v>20.400530411755685</c:v>
                </c:pt>
                <c:pt idx="59">
                  <c:v>21.132795618076113</c:v>
                </c:pt>
                <c:pt idx="60">
                  <c:v>21.878007816048164</c:v>
                </c:pt>
                <c:pt idx="61">
                  <c:v>22.636160845055535</c:v>
                </c:pt>
                <c:pt idx="62">
                  <c:v>23.407248404116402</c:v>
                </c:pt>
                <c:pt idx="63">
                  <c:v>24.191264051632764</c:v>
                </c:pt>
                <c:pt idx="64">
                  <c:v>24.988201205161229</c:v>
                </c:pt>
                <c:pt idx="65">
                  <c:v>25.798053141204328</c:v>
                </c:pt>
                <c:pt idx="66">
                  <c:v>26.620812995021634</c:v>
                </c:pt>
                <c:pt idx="67">
                  <c:v>27.456473760459918</c:v>
                </c:pt>
                <c:pt idx="68">
                  <c:v>28.305028289801662</c:v>
                </c:pt>
                <c:pt idx="69">
                  <c:v>29.166469293631312</c:v>
                </c:pt>
                <c:pt idx="70">
                  <c:v>30.040789340718703</c:v>
                </c:pt>
                <c:pt idx="71">
                  <c:v>30.927980857919081</c:v>
                </c:pt>
                <c:pt idx="72">
                  <c:v>31.828036130089266</c:v>
                </c:pt>
                <c:pt idx="73">
                  <c:v>32.740947300019428</c:v>
                </c:pt>
                <c:pt idx="74">
                  <c:v>33.666706368380119</c:v>
                </c:pt>
                <c:pt idx="75">
                  <c:v>34.605305193684053</c:v>
                </c:pt>
                <c:pt idx="76">
                  <c:v>35.556735492262376</c:v>
                </c:pt>
                <c:pt idx="77">
                  <c:v>36.520988838254929</c:v>
                </c:pt>
                <c:pt idx="78">
                  <c:v>37.498056663614292</c:v>
                </c:pt>
                <c:pt idx="79">
                  <c:v>38.487930258123235</c:v>
                </c:pt>
                <c:pt idx="80">
                  <c:v>39.490600769425271</c:v>
                </c:pt>
                <c:pt idx="81">
                  <c:v>40.506054671291871</c:v>
                </c:pt>
                <c:pt idx="82">
                  <c:v>41.534269223564927</c:v>
                </c:pt>
                <c:pt idx="83">
                  <c:v>42.575216993653761</c:v>
                </c:pt>
                <c:pt idx="84">
                  <c:v>43.628870386697834</c:v>
                </c:pt>
                <c:pt idx="85">
                  <c:v>44.69520164629246</c:v>
                </c:pt>
                <c:pt idx="86">
                  <c:v>45.774182855228148</c:v>
                </c:pt>
                <c:pt idx="87">
                  <c:v>46.865785936243235</c:v>
                </c:pt>
                <c:pt idx="88">
                  <c:v>47.969982652789454</c:v>
                </c:pt>
                <c:pt idx="89">
                  <c:v>49.086744609810168</c:v>
                </c:pt>
                <c:pt idx="90">
                  <c:v>50.216043254530938</c:v>
                </c:pt>
                <c:pt idx="91">
                  <c:v>51.357847874866614</c:v>
                </c:pt>
                <c:pt idx="92">
                  <c:v>52.512123594452866</c:v>
                </c:pt>
                <c:pt idx="93">
                  <c:v>53.678833371876017</c:v>
                </c:pt>
                <c:pt idx="94">
                  <c:v>54.857940003457699</c:v>
                </c:pt>
                <c:pt idx="95">
                  <c:v>56.049406124415476</c:v>
                </c:pt>
                <c:pt idx="96">
                  <c:v>57.253194210034358</c:v>
                </c:pt>
                <c:pt idx="97">
                  <c:v>58.46926657684886</c:v>
                </c:pt>
                <c:pt idx="98">
                  <c:v>59.697585383835332</c:v>
                </c:pt>
                <c:pt idx="99">
                  <c:v>60.938112633614253</c:v>
                </c:pt>
                <c:pt idx="100">
                  <c:v>62.190810173662278</c:v>
                </c:pt>
                <c:pt idx="101">
                  <c:v>63.455639377226447</c:v>
                </c:pt>
                <c:pt idx="102">
                  <c:v>64.732560823757723</c:v>
                </c:pt>
                <c:pt idx="103">
                  <c:v>66.02153461991719</c:v>
                </c:pt>
                <c:pt idx="104">
                  <c:v>67.322520721106642</c:v>
                </c:pt>
                <c:pt idx="105">
                  <c:v>68.635478932776749</c:v>
                </c:pt>
                <c:pt idx="106">
                  <c:v>69.960368911743316</c:v>
                </c:pt>
                <c:pt idx="107">
                  <c:v>71.297150167511461</c:v>
                </c:pt>
                <c:pt idx="108">
                  <c:v>72.6457820636073</c:v>
                </c:pt>
                <c:pt idx="109">
                  <c:v>74.006223818917107</c:v>
                </c:pt>
                <c:pt idx="110">
                  <c:v>75.378434509033582</c:v>
                </c:pt>
                <c:pt idx="111">
                  <c:v>76.762376755823098</c:v>
                </c:pt>
                <c:pt idx="112">
                  <c:v>78.158020422049944</c:v>
                </c:pt>
                <c:pt idx="113">
                  <c:v>79.56533892965804</c:v>
                </c:pt>
                <c:pt idx="114">
                  <c:v>80.984305572728815</c:v>
                </c:pt>
                <c:pt idx="115">
                  <c:v>82.414893518300389</c:v>
                </c:pt>
                <c:pt idx="116">
                  <c:v>83.85707580719334</c:v>
                </c:pt>
                <c:pt idx="117">
                  <c:v>85.310825354843004</c:v>
                </c:pt>
                <c:pt idx="118">
                  <c:v>86.776114952138201</c:v>
                </c:pt>
                <c:pt idx="119">
                  <c:v>88.252917266266223</c:v>
                </c:pt>
                <c:pt idx="120">
                  <c:v>89.741204841563871</c:v>
                </c:pt>
                <c:pt idx="121">
                  <c:v>91.24094398246018</c:v>
                </c:pt>
                <c:pt idx="122">
                  <c:v>92.752088628881836</c:v>
                </c:pt>
                <c:pt idx="123">
                  <c:v>94.274586468149366</c:v>
                </c:pt>
                <c:pt idx="124">
                  <c:v>95.808385054901692</c:v>
                </c:pt>
                <c:pt idx="125">
                  <c:v>97.353431812934318</c:v>
                </c:pt>
                <c:pt idx="126">
                  <c:v>98.90967403704019</c:v>
                </c:pt>
                <c:pt idx="127">
                  <c:v>100.47705889485302</c:v>
                </c:pt>
                <c:pt idx="128">
                  <c:v>102.05553342869275</c:v>
                </c:pt>
                <c:pt idx="129">
                  <c:v>103.6450445574131</c:v>
                </c:pt>
                <c:pt idx="130">
                  <c:v>105.2455390782506</c:v>
                </c:pt>
                <c:pt idx="131">
                  <c:v>106.85696206683457</c:v>
                </c:pt>
                <c:pt idx="132">
                  <c:v>108.47925527552694</c:v>
                </c:pt>
                <c:pt idx="133">
                  <c:v>110.11235873586841</c:v>
                </c:pt>
                <c:pt idx="134">
                  <c:v>111.75621236283401</c:v>
                </c:pt>
                <c:pt idx="135">
                  <c:v>113.41075595696113</c:v>
                </c:pt>
                <c:pt idx="136">
                  <c:v>115.07592920647645</c:v>
                </c:pt>
                <c:pt idx="137">
                  <c:v>116.7516716894214</c:v>
                </c:pt>
                <c:pt idx="138">
                  <c:v>118.43792287577593</c:v>
                </c:pt>
                <c:pt idx="139">
                  <c:v>120.13462212958029</c:v>
                </c:pt>
                <c:pt idx="140">
                  <c:v>121.84170871105466</c:v>
                </c:pt>
                <c:pt idx="141">
                  <c:v>123.55910262424158</c:v>
                </c:pt>
                <c:pt idx="142">
                  <c:v>125.2866854487269</c:v>
                </c:pt>
                <c:pt idx="143">
                  <c:v>127.02431948877086</c:v>
                </c:pt>
                <c:pt idx="144">
                  <c:v>128.77186694042001</c:v>
                </c:pt>
                <c:pt idx="145">
                  <c:v>130.52918989772519</c:v>
                </c:pt>
                <c:pt idx="146">
                  <c:v>132.29615035892041</c:v>
                </c:pt>
                <c:pt idx="147">
                  <c:v>134.07261023256203</c:v>
                </c:pt>
                <c:pt idx="148">
                  <c:v>135.85843134362693</c:v>
                </c:pt>
                <c:pt idx="149">
                  <c:v>137.65347543956926</c:v>
                </c:pt>
                <c:pt idx="150">
                  <c:v>139.45760419633461</c:v>
                </c:pt>
                <c:pt idx="151">
                  <c:v>141.27067922433088</c:v>
                </c:pt>
                <c:pt idx="152">
                  <c:v>143.09256207435516</c:v>
                </c:pt>
                <c:pt idx="153">
                  <c:v>144.92311424347562</c:v>
                </c:pt>
                <c:pt idx="154">
                  <c:v>146.7621971808679</c:v>
                </c:pt>
                <c:pt idx="155">
                  <c:v>148.609672293605</c:v>
                </c:pt>
                <c:pt idx="156">
                  <c:v>150.46531023282532</c:v>
                </c:pt>
                <c:pt idx="157">
                  <c:v>152.32870015962811</c:v>
                </c:pt>
                <c:pt idx="158">
                  <c:v>154.19934053211031</c:v>
                </c:pt>
                <c:pt idx="159">
                  <c:v>156.07672993311658</c:v>
                </c:pt>
                <c:pt idx="160">
                  <c:v>157.96036711654375</c:v>
                </c:pt>
                <c:pt idx="161">
                  <c:v>159.84963571845012</c:v>
                </c:pt>
                <c:pt idx="162">
                  <c:v>161.7436890236242</c:v>
                </c:pt>
                <c:pt idx="163">
                  <c:v>163.64157656115606</c:v>
                </c:pt>
                <c:pt idx="164">
                  <c:v>165.54237068465417</c:v>
                </c:pt>
                <c:pt idx="165">
                  <c:v>167.44526586288265</c:v>
                </c:pt>
                <c:pt idx="166">
                  <c:v>169.34967783643003</c:v>
                </c:pt>
                <c:pt idx="167">
                  <c:v>171.25504948739027</c:v>
                </c:pt>
                <c:pt idx="168">
                  <c:v>173.16071751107907</c:v>
                </c:pt>
                <c:pt idx="169">
                  <c:v>175.06582340779886</c:v>
                </c:pt>
                <c:pt idx="170">
                  <c:v>176.96928528637369</c:v>
                </c:pt>
                <c:pt idx="171">
                  <c:v>178.87034592471116</c:v>
                </c:pt>
                <c:pt idx="172">
                  <c:v>180.76881683826667</c:v>
                </c:pt>
                <c:pt idx="173">
                  <c:v>182.66470267874479</c:v>
                </c:pt>
                <c:pt idx="174">
                  <c:v>184.55800808201212</c:v>
                </c:pt>
                <c:pt idx="175">
                  <c:v>186.44873766816829</c:v>
                </c:pt>
                <c:pt idx="176">
                  <c:v>188.33689604161651</c:v>
                </c:pt>
                <c:pt idx="177">
                  <c:v>190.22248779113377</c:v>
                </c:pt>
                <c:pt idx="178">
                  <c:v>192.10551748994061</c:v>
                </c:pt>
                <c:pt idx="179">
                  <c:v>193.98598969577048</c:v>
                </c:pt>
                <c:pt idx="180">
                  <c:v>195.86390895093882</c:v>
                </c:pt>
                <c:pt idx="181">
                  <c:v>197.73927978241153</c:v>
                </c:pt>
                <c:pt idx="182">
                  <c:v>199.61210670187336</c:v>
                </c:pt>
                <c:pt idx="183">
                  <c:v>201.4823942057956</c:v>
                </c:pt>
                <c:pt idx="184">
                  <c:v>203.35014677550359</c:v>
                </c:pt>
                <c:pt idx="185">
                  <c:v>205.2153688772438</c:v>
                </c:pt>
                <c:pt idx="186">
                  <c:v>207.07806496225055</c:v>
                </c:pt>
                <c:pt idx="187">
                  <c:v>208.93823946681229</c:v>
                </c:pt>
                <c:pt idx="188">
                  <c:v>210.79589681233759</c:v>
                </c:pt>
                <c:pt idx="189">
                  <c:v>212.65104140542067</c:v>
                </c:pt>
                <c:pt idx="190">
                  <c:v>214.50367763790672</c:v>
                </c:pt>
                <c:pt idx="191">
                  <c:v>216.35380988695664</c:v>
                </c:pt>
                <c:pt idx="192">
                  <c:v>218.20144251511167</c:v>
                </c:pt>
                <c:pt idx="193">
                  <c:v>220.04657987035739</c:v>
                </c:pt>
                <c:pt idx="194">
                  <c:v>221.88922628618761</c:v>
                </c:pt>
                <c:pt idx="195">
                  <c:v>223.72938608166768</c:v>
                </c:pt>
                <c:pt idx="196">
                  <c:v>225.56706356149772</c:v>
                </c:pt>
                <c:pt idx="197">
                  <c:v>227.40226301607521</c:v>
                </c:pt>
                <c:pt idx="198">
                  <c:v>229.23498872155744</c:v>
                </c:pt>
                <c:pt idx="199">
                  <c:v>231.06524493992353</c:v>
                </c:pt>
                <c:pt idx="200">
                  <c:v>232.89303591903609</c:v>
                </c:pt>
                <c:pt idx="201">
                  <c:v>251.03568551352203</c:v>
                </c:pt>
                <c:pt idx="202">
                  <c:v>268.93453630754851</c:v>
                </c:pt>
                <c:pt idx="203">
                  <c:v>286.59370106166131</c:v>
                </c:pt>
                <c:pt idx="204">
                  <c:v>304.01715932046432</c:v>
                </c:pt>
                <c:pt idx="205">
                  <c:v>321.20876302032707</c:v>
                </c:pt>
                <c:pt idx="206">
                  <c:v>338.1722418002347</c:v>
                </c:pt>
                <c:pt idx="207">
                  <c:v>354.91120803451514</c:v>
                </c:pt>
                <c:pt idx="208">
                  <c:v>371.42916160480758</c:v>
                </c:pt>
                <c:pt idx="209">
                  <c:v>387.72949442737774</c:v>
                </c:pt>
                <c:pt idx="210">
                  <c:v>403.81549475073143</c:v>
                </c:pt>
                <c:pt idx="211">
                  <c:v>419.69035123741787</c:v>
                </c:pt>
                <c:pt idx="212">
                  <c:v>435.35715684293831</c:v>
                </c:pt>
                <c:pt idx="213">
                  <c:v>450.81891250377925</c:v>
                </c:pt>
                <c:pt idx="214">
                  <c:v>466.07853064576176</c:v>
                </c:pt>
                <c:pt idx="215">
                  <c:v>481.13883852313722</c:v>
                </c:pt>
                <c:pt idx="216">
                  <c:v>496.00258139815611</c:v>
                </c:pt>
                <c:pt idx="217">
                  <c:v>510.67242557018722</c:v>
                </c:pt>
                <c:pt idx="218">
                  <c:v>525.15096126286517</c:v>
                </c:pt>
                <c:pt idx="219">
                  <c:v>539.44070537718778</c:v>
                </c:pt>
                <c:pt idx="220">
                  <c:v>553.54410411797232</c:v>
                </c:pt>
                <c:pt idx="221">
                  <c:v>567.46353550060269</c:v>
                </c:pt>
                <c:pt idx="222">
                  <c:v>581.20131174455946</c:v>
                </c:pt>
                <c:pt idx="223">
                  <c:v>594.75968155981388</c:v>
                </c:pt>
                <c:pt idx="224">
                  <c:v>608.14083233178872</c:v>
                </c:pt>
                <c:pt idx="225">
                  <c:v>621.34689221023393</c:v>
                </c:pt>
                <c:pt idx="226">
                  <c:v>634.3799321070386</c:v>
                </c:pt>
                <c:pt idx="227">
                  <c:v>647.24196760769382</c:v>
                </c:pt>
                <c:pt idx="228">
                  <c:v>659.9349608008381</c:v>
                </c:pt>
                <c:pt idx="229">
                  <c:v>672.46082203005176</c:v>
                </c:pt>
                <c:pt idx="230">
                  <c:v>684.821411571819</c:v>
                </c:pt>
                <c:pt idx="231">
                  <c:v>697.01854124334807</c:v>
                </c:pt>
                <c:pt idx="232">
                  <c:v>709.05397594372312</c:v>
                </c:pt>
                <c:pt idx="233">
                  <c:v>720.92943513166256</c:v>
                </c:pt>
                <c:pt idx="234">
                  <c:v>732.64659424296929</c:v>
                </c:pt>
                <c:pt idx="235">
                  <c:v>744.20708605058508</c:v>
                </c:pt>
                <c:pt idx="236">
                  <c:v>755.61250196999583</c:v>
                </c:pt>
                <c:pt idx="237">
                  <c:v>766.86439331258123</c:v>
                </c:pt>
                <c:pt idx="238">
                  <c:v>777.9642724893597</c:v>
                </c:pt>
                <c:pt idx="239">
                  <c:v>788.91361416744326</c:v>
                </c:pt>
                <c:pt idx="240">
                  <c:v>799.71385638139236</c:v>
                </c:pt>
                <c:pt idx="241">
                  <c:v>810.36640160154025</c:v>
                </c:pt>
                <c:pt idx="242">
                  <c:v>820.87261776124831</c:v>
                </c:pt>
                <c:pt idx="243">
                  <c:v>831.23383924494556</c:v>
                </c:pt>
                <c:pt idx="244">
                  <c:v>841.45136783871135</c:v>
                </c:pt>
                <c:pt idx="245">
                  <c:v>851.52647364506561</c:v>
                </c:pt>
                <c:pt idx="246">
                  <c:v>861.46039596354501</c:v>
                </c:pt>
                <c:pt idx="247">
                  <c:v>871.2543441385626</c:v>
                </c:pt>
                <c:pt idx="248">
                  <c:v>880.90949837597054</c:v>
                </c:pt>
                <c:pt idx="249">
                  <c:v>890.42701052967459</c:v>
                </c:pt>
                <c:pt idx="250">
                  <c:v>899.80800485958002</c:v>
                </c:pt>
                <c:pt idx="251">
                  <c:v>909.05357876208473</c:v>
                </c:pt>
                <c:pt idx="252">
                  <c:v>918.16480347427557</c:v>
                </c:pt>
                <c:pt idx="253">
                  <c:v>927.14272475292569</c:v>
                </c:pt>
                <c:pt idx="254">
                  <c:v>935.98836352933756</c:v>
                </c:pt>
                <c:pt idx="255">
                  <c:v>944.70271654102601</c:v>
                </c:pt>
                <c:pt idx="256">
                  <c:v>953.28675694118658</c:v>
                </c:pt>
                <c:pt idx="257">
                  <c:v>961.74143488685024</c:v>
                </c:pt>
                <c:pt idx="258">
                  <c:v>970.06767810658221</c:v>
                </c:pt>
                <c:pt idx="259">
                  <c:v>978.26639244854175</c:v>
                </c:pt>
                <c:pt idx="260">
                  <c:v>986.33846240968307</c:v>
                </c:pt>
                <c:pt idx="261">
                  <c:v>994.28475164683925</c:v>
                </c:pt>
                <c:pt idx="262">
                  <c:v>1002.1061034703989</c:v>
                </c:pt>
                <c:pt idx="263">
                  <c:v>1009.8033413212518</c:v>
                </c:pt>
                <c:pt idx="264">
                  <c:v>1017.3772692316491</c:v>
                </c:pt>
                <c:pt idx="265">
                  <c:v>1024.8286722705955</c:v>
                </c:pt>
                <c:pt idx="266">
                  <c:v>1032.1583169743626</c:v>
                </c:pt>
                <c:pt idx="267">
                  <c:v>1039.3669517626879</c:v>
                </c:pt>
                <c:pt idx="268">
                  <c:v>1046.4553073411971</c:v>
                </c:pt>
                <c:pt idx="269">
                  <c:v>1053.4240970905671</c:v>
                </c:pt>
                <c:pt idx="270">
                  <c:v>1060.2740174429241</c:v>
                </c:pt>
                <c:pt idx="271">
                  <c:v>1067.0057482459481</c:v>
                </c:pt>
                <c:pt idx="272">
                  <c:v>1073.6199531151399</c:v>
                </c:pt>
                <c:pt idx="273">
                  <c:v>1080.1172797746847</c:v>
                </c:pt>
                <c:pt idx="274">
                  <c:v>1086.4983603873304</c:v>
                </c:pt>
                <c:pt idx="275">
                  <c:v>1092.7638118736825</c:v>
                </c:pt>
                <c:pt idx="276">
                  <c:v>1098.9142362213017</c:v>
                </c:pt>
                <c:pt idx="277">
                  <c:v>1104.9502207839757</c:v>
                </c:pt>
                <c:pt idx="278">
                  <c:v>1110.872338571523</c:v>
                </c:pt>
                <c:pt idx="279">
                  <c:v>1116.6811485304743</c:v>
                </c:pt>
                <c:pt idx="280">
                  <c:v>1122.3771958159673</c:v>
                </c:pt>
                <c:pt idx="281">
                  <c:v>1127.9610120551733</c:v>
                </c:pt>
                <c:pt idx="282">
                  <c:v>1133.433115602573</c:v>
                </c:pt>
                <c:pt idx="283">
                  <c:v>1138.7940117873825</c:v>
                </c:pt>
                <c:pt idx="284">
                  <c:v>1144.0441931534258</c:v>
                </c:pt>
                <c:pt idx="285">
                  <c:v>1149.1841396917414</c:v>
                </c:pt>
                <c:pt idx="286">
                  <c:v>1154.2143190662048</c:v>
                </c:pt>
                <c:pt idx="287">
                  <c:v>1159.135186832443</c:v>
                </c:pt>
                <c:pt idx="288">
                  <c:v>1163.9471866503125</c:v>
                </c:pt>
                <c:pt idx="289">
                  <c:v>1168.6507504902074</c:v>
                </c:pt>
                <c:pt idx="290">
                  <c:v>1173.2462988334648</c:v>
                </c:pt>
                <c:pt idx="291">
                  <c:v>1177.7342408671295</c:v>
                </c:pt>
                <c:pt idx="292">
                  <c:v>1182.1149746733431</c:v>
                </c:pt>
                <c:pt idx="293">
                  <c:v>1186.3888874136219</c:v>
                </c:pt>
                <c:pt idx="294">
                  <c:v>1190.5563555082904</c:v>
                </c:pt>
                <c:pt idx="295">
                  <c:v>1194.6177448113428</c:v>
                </c:pt>
                <c:pt idx="296">
                  <c:v>1198.5734107810081</c:v>
                </c:pt>
                <c:pt idx="297">
                  <c:v>1202.4236986463043</c:v>
                </c:pt>
                <c:pt idx="298">
                  <c:v>1206.1689435698759</c:v>
                </c:pt>
                <c:pt idx="299">
                  <c:v>1209.8094708074188</c:v>
                </c:pt>
                <c:pt idx="300">
                  <c:v>1213.3455958640129</c:v>
                </c:pt>
                <c:pt idx="301">
                  <c:v>1216.7776246476992</c:v>
                </c:pt>
                <c:pt idx="302">
                  <c:v>1220.1058536206554</c:v>
                </c:pt>
                <c:pt idx="303">
                  <c:v>1223.330569948349</c:v>
                </c:pt>
                <c:pt idx="304">
                  <c:v>1226.4520516470727</c:v>
                </c:pt>
                <c:pt idx="305">
                  <c:v>1229.4705677302945</c:v>
                </c:pt>
                <c:pt idx="306">
                  <c:v>1232.3863783542913</c:v>
                </c:pt>
                <c:pt idx="307">
                  <c:v>1235.1997349635717</c:v>
                </c:pt>
                <c:pt idx="308">
                  <c:v>1237.9108804366369</c:v>
                </c:pt>
                <c:pt idx="309">
                  <c:v>1240.5200492326746</c:v>
                </c:pt>
                <c:pt idx="310">
                  <c:v>1243.0274675398355</c:v>
                </c:pt>
                <c:pt idx="311">
                  <c:v>1245.4333534257978</c:v>
                </c:pt>
                <c:pt idx="312">
                  <c:v>1247.7379169913879</c:v>
                </c:pt>
                <c:pt idx="313">
                  <c:v>1249.9413605280918</c:v>
                </c:pt>
                <c:pt idx="314">
                  <c:v>1252.0438786803609</c:v>
                </c:pt>
                <c:pt idx="315">
                  <c:v>1254.0456586136913</c:v>
                </c:pt>
                <c:pt idx="316">
                  <c:v>1255.9468801895273</c:v>
                </c:pt>
                <c:pt idx="317">
                  <c:v>1257.7477161481102</c:v>
                </c:pt>
                <c:pt idx="318">
                  <c:v>1259.448332300469</c:v>
                </c:pt>
                <c:pt idx="319">
                  <c:v>1261.0488877308003</c:v>
                </c:pt>
                <c:pt idx="320">
                  <c:v>1262.549535010538</c:v>
                </c:pt>
                <c:pt idx="321">
                  <c:v>1263.9504204254413</c:v>
                </c:pt>
                <c:pt idx="322">
                  <c:v>1265.2516842170298</c:v>
                </c:pt>
                <c:pt idx="323">
                  <c:v>1266.4534608396687</c:v>
                </c:pt>
                <c:pt idx="324">
                  <c:v>1267.5558792345321</c:v>
                </c:pt>
                <c:pt idx="325">
                  <c:v>1268.5590631215575</c:v>
                </c:pt>
                <c:pt idx="326">
                  <c:v>1269.4631313103207</c:v>
                </c:pt>
                <c:pt idx="327">
                  <c:v>1270.2681980305276</c:v>
                </c:pt>
                <c:pt idx="328">
                  <c:v>1270.9743732825063</c:v>
                </c:pt>
                <c:pt idx="329">
                  <c:v>1271.581763207711</c:v>
                </c:pt>
                <c:pt idx="330">
                  <c:v>1272.0904704788122</c:v>
                </c:pt>
                <c:pt idx="331">
                  <c:v>1272.5005947084585</c:v>
                </c:pt>
                <c:pt idx="332">
                  <c:v>1272.8122328752654</c:v>
                </c:pt>
                <c:pt idx="333">
                  <c:v>1273.0254797650553</c:v>
                </c:pt>
                <c:pt idx="334">
                  <c:v>1273.1404284248381</c:v>
                </c:pt>
                <c:pt idx="335">
                  <c:v>1273.1571706265424</c:v>
                </c:pt>
                <c:pt idx="336">
                  <c:v>1273.0757973370996</c:v>
                </c:pt>
                <c:pt idx="337">
                  <c:v>1272.8963991911698</c:v>
                </c:pt>
                <c:pt idx="338">
                  <c:v>1272.6190669626224</c:v>
                </c:pt>
                <c:pt idx="339">
                  <c:v>1272.2438920308314</c:v>
                </c:pt>
                <c:pt idx="340">
                  <c:v>1271.7709668379459</c:v>
                </c:pt>
                <c:pt idx="341">
                  <c:v>1271.2003853335232</c:v>
                </c:pt>
                <c:pt idx="342">
                  <c:v>1270.5322434032605</c:v>
                </c:pt>
                <c:pt idx="343">
                  <c:v>1269.7666392790013</c:v>
                </c:pt>
                <c:pt idx="344">
                  <c:v>1268.903673927698</c:v>
                </c:pt>
                <c:pt idx="345">
                  <c:v>1267.9434514175471</c:v>
                </c:pt>
                <c:pt idx="346">
                  <c:v>1266.886079260056</c:v>
                </c:pt>
                <c:pt idx="347">
                  <c:v>1265.7316687273185</c:v>
                </c:pt>
                <c:pt idx="348">
                  <c:v>1264.4803351442451</c:v>
                </c:pt>
                <c:pt idx="349">
                  <c:v>1263.1321981559211</c:v>
                </c:pt>
                <c:pt idx="350">
                  <c:v>1261.6873819706043</c:v>
                </c:pt>
                <c:pt idx="351">
                  <c:v>1260.1460155791683</c:v>
                </c:pt>
                <c:pt idx="352">
                  <c:v>1258.5082329520012</c:v>
                </c:pt>
                <c:pt idx="353">
                  <c:v>1256.7741732145325</c:v>
                </c:pt>
                <c:pt idx="354">
                  <c:v>1254.9439808026507</c:v>
                </c:pt>
                <c:pt idx="355">
                  <c:v>1253.0178055993294</c:v>
                </c:pt>
                <c:pt idx="356">
                  <c:v>1250.9958030537898</c:v>
                </c:pt>
                <c:pt idx="357">
                  <c:v>1248.8781342845086</c:v>
                </c:pt>
                <c:pt idx="358">
                  <c:v>1246.6649661673403</c:v>
                </c:pt>
                <c:pt idx="359">
                  <c:v>1244.3564714099632</c:v>
                </c:pt>
                <c:pt idx="360">
                  <c:v>1241.9528286137918</c:v>
                </c:pt>
                <c:pt idx="361">
                  <c:v>1239.4542223244173</c:v>
                </c:pt>
                <c:pt idx="362">
                  <c:v>1236.860843071569</c:v>
                </c:pt>
                <c:pt idx="363">
                  <c:v>1234.1728873994991</c:v>
                </c:pt>
                <c:pt idx="364">
                  <c:v>1231.3905578886274</c:v>
                </c:pt>
                <c:pt idx="365">
                  <c:v>1228.5140631692004</c:v>
                </c:pt>
                <c:pt idx="366">
                  <c:v>1225.5436179276544</c:v>
                </c:pt>
                <c:pt idx="367">
                  <c:v>1222.479442906307</c:v>
                </c:pt>
                <c:pt idx="368">
                  <c:v>1219.3217648969378</c:v>
                </c:pt>
                <c:pt idx="369">
                  <c:v>1216.0708167287701</c:v>
                </c:pt>
                <c:pt idx="370">
                  <c:v>1212.7268372513095</c:v>
                </c:pt>
                <c:pt idx="371">
                  <c:v>1209.2900713124538</c:v>
                </c:pt>
                <c:pt idx="372">
                  <c:v>1205.7607697322471</c:v>
                </c:pt>
                <c:pt idx="373">
                  <c:v>1202.1391892726119</c:v>
                </c:pt>
                <c:pt idx="374">
                  <c:v>1198.4255926033647</c:v>
                </c:pt>
                <c:pt idx="375">
                  <c:v>1194.6202482647864</c:v>
                </c:pt>
                <c:pt idx="376">
                  <c:v>1190.7234306269947</c:v>
                </c:pt>
                <c:pt idx="377">
                  <c:v>1186.7354198463445</c:v>
                </c:pt>
                <c:pt idx="378">
                  <c:v>1182.6565018190565</c:v>
                </c:pt>
                <c:pt idx="379">
                  <c:v>1178.4869681322621</c:v>
                </c:pt>
                <c:pt idx="380">
                  <c:v>1174.2271160126279</c:v>
                </c:pt>
                <c:pt idx="381">
                  <c:v>1169.8772482727202</c:v>
                </c:pt>
                <c:pt idx="382">
                  <c:v>1165.437673255243</c:v>
                </c:pt>
                <c:pt idx="383">
                  <c:v>1160.9087047752851</c:v>
                </c:pt>
                <c:pt idx="384">
                  <c:v>1156.2906620606911</c:v>
                </c:pt>
                <c:pt idx="385">
                  <c:v>1151.5838696906696</c:v>
                </c:pt>
                <c:pt idx="386">
                  <c:v>1146.7886575327373</c:v>
                </c:pt>
                <c:pt idx="387">
                  <c:v>1141.9053606780967</c:v>
                </c:pt>
                <c:pt idx="388">
                  <c:v>1136.9343193755356</c:v>
                </c:pt>
                <c:pt idx="389">
                  <c:v>1131.8758789639296</c:v>
                </c:pt>
                <c:pt idx="390">
                  <c:v>1126.7303898034277</c:v>
                </c:pt>
                <c:pt idx="391">
                  <c:v>1121.4982072053917</c:v>
                </c:pt>
                <c:pt idx="392">
                  <c:v>1116.1796913611624</c:v>
                </c:pt>
                <c:pt idx="393">
                  <c:v>1110.7752072697147</c:v>
                </c:pt>
                <c:pt idx="394">
                  <c:v>1105.2851246642663</c:v>
                </c:pt>
                <c:pt idx="395">
                  <c:v>1099.7098179378997</c:v>
                </c:pt>
                <c:pt idx="396">
                  <c:v>1094.0496660682527</c:v>
                </c:pt>
                <c:pt idx="397">
                  <c:v>1088.3050525413341</c:v>
                </c:pt>
                <c:pt idx="398">
                  <c:v>1082.4763652745169</c:v>
                </c:pt>
                <c:pt idx="399">
                  <c:v>1076.5639965387579</c:v>
                </c:pt>
                <c:pt idx="400">
                  <c:v>1070.5683428800955</c:v>
                </c:pt>
                <c:pt idx="401">
                  <c:v>1064.4898050404704</c:v>
                </c:pt>
                <c:pt idx="402">
                  <c:v>1058.3287878779158</c:v>
                </c:pt>
                <c:pt idx="403">
                  <c:v>1052.085700286164</c:v>
                </c:pt>
                <c:pt idx="404">
                  <c:v>1045.760955113708</c:v>
                </c:pt>
                <c:pt idx="405">
                  <c:v>1039.3549690823656</c:v>
                </c:pt>
                <c:pt idx="406">
                  <c:v>1032.8681627053838</c:v>
                </c:pt>
                <c:pt idx="407">
                  <c:v>1026.3009602051234</c:v>
                </c:pt>
                <c:pt idx="408">
                  <c:v>1019.6537894303656</c:v>
                </c:pt>
                <c:pt idx="409">
                  <c:v>1012.9270817732776</c:v>
                </c:pt>
                <c:pt idx="410">
                  <c:v>1006.1212720860739</c:v>
                </c:pt>
                <c:pt idx="411">
                  <c:v>999.23679859741219</c:v>
                </c:pt>
                <c:pt idx="412">
                  <c:v>992.27410282855794</c:v>
                </c:pt>
                <c:pt idx="413">
                  <c:v>985.23362950935439</c:v>
                </c:pt>
                <c:pt idx="414">
                  <c:v>978.11582649403226</c:v>
                </c:pt>
                <c:pt idx="415">
                  <c:v>970.92114467689339</c:v>
                </c:pt>
                <c:pt idx="416">
                  <c:v>963.65003790790161</c:v>
                </c:pt>
                <c:pt idx="417">
                  <c:v>956.30296290821366</c:v>
                </c:pt>
                <c:pt idx="418">
                  <c:v>948.88037918568239</c:v>
                </c:pt>
                <c:pt idx="419">
                  <c:v>941.38274895036454</c:v>
                </c:pt>
                <c:pt idx="420">
                  <c:v>933.8105370300633</c:v>
                </c:pt>
                <c:pt idx="421">
                  <c:v>926.16421078593646</c:v>
                </c:pt>
                <c:pt idx="422">
                  <c:v>918.44424002820074</c:v>
                </c:pt>
                <c:pt idx="423">
                  <c:v>910.65109693196052</c:v>
                </c:pt>
                <c:pt idx="424">
                  <c:v>902.78525595319127</c:v>
                </c:pt>
                <c:pt idx="425">
                  <c:v>894.84719374490476</c:v>
                </c:pt>
                <c:pt idx="426">
                  <c:v>886.83738907352461</c:v>
                </c:pt>
                <c:pt idx="427">
                  <c:v>878.756322735499</c:v>
                </c:pt>
                <c:pt idx="428">
                  <c:v>870.60447747417766</c:v>
                </c:pt>
                <c:pt idx="429">
                  <c:v>862.38233789697881</c:v>
                </c:pt>
                <c:pt idx="430">
                  <c:v>854.09039039287234</c:v>
                </c:pt>
                <c:pt idx="431">
                  <c:v>845.72912305020327</c:v>
                </c:pt>
                <c:pt idx="432">
                  <c:v>837.29902557488151</c:v>
                </c:pt>
                <c:pt idx="433">
                  <c:v>828.80058920896067</c:v>
                </c:pt>
                <c:pt idx="434">
                  <c:v>820.23430664962996</c:v>
                </c:pt>
                <c:pt idx="435">
                  <c:v>811.60067196864213</c:v>
                </c:pt>
                <c:pt idx="436">
                  <c:v>802.90018053219978</c:v>
                </c:pt>
                <c:pt idx="437">
                  <c:v>794.13332892132189</c:v>
                </c:pt>
                <c:pt idx="438">
                  <c:v>785.30061485271153</c:v>
                </c:pt>
                <c:pt idx="439">
                  <c:v>776.40253710014679</c:v>
                </c:pt>
                <c:pt idx="440">
                  <c:v>767.43959541641311</c:v>
                </c:pt>
                <c:pt idx="441">
                  <c:v>758.41229045579882</c:v>
                </c:pt>
                <c:pt idx="442">
                  <c:v>749.32112369717174</c:v>
                </c:pt>
                <c:pt idx="443">
                  <c:v>740.16659736765553</c:v>
                </c:pt>
                <c:pt idx="444">
                  <c:v>730.94921436692437</c:v>
                </c:pt>
                <c:pt idx="445">
                  <c:v>721.66947819213317</c:v>
                </c:pt>
                <c:pt idx="446">
                  <c:v>712.32789286350044</c:v>
                </c:pt>
                <c:pt idx="447">
                  <c:v>702.92496285055984</c:v>
                </c:pt>
                <c:pt idx="448">
                  <c:v>693.46119299909662</c:v>
                </c:pt>
                <c:pt idx="449">
                  <c:v>683.93708845878473</c:v>
                </c:pt>
                <c:pt idx="450">
                  <c:v>674.35315461153823</c:v>
                </c:pt>
                <c:pt idx="451">
                  <c:v>664.70989700059249</c:v>
                </c:pt>
                <c:pt idx="452">
                  <c:v>655.007821260328</c:v>
                </c:pt>
                <c:pt idx="453">
                  <c:v>645.24743304685069</c:v>
                </c:pt>
                <c:pt idx="454">
                  <c:v>635.42923796934076</c:v>
                </c:pt>
                <c:pt idx="455">
                  <c:v>625.55374152218303</c:v>
                </c:pt>
                <c:pt idx="456">
                  <c:v>615.62144901788895</c:v>
                </c:pt>
                <c:pt idx="457">
                  <c:v>605.63286552082309</c:v>
                </c:pt>
                <c:pt idx="458">
                  <c:v>595.58849578174363</c:v>
                </c:pt>
                <c:pt idx="459">
                  <c:v>585.48884417316674</c:v>
                </c:pt>
                <c:pt idx="460">
                  <c:v>575.33441462556516</c:v>
                </c:pt>
                <c:pt idx="461">
                  <c:v>565.12571056440913</c:v>
                </c:pt>
                <c:pt idx="462">
                  <c:v>554.86323484805916</c:v>
                </c:pt>
                <c:pt idx="463">
                  <c:v>544.54748970651758</c:v>
                </c:pt>
                <c:pt idx="464">
                  <c:v>534.17897668104729</c:v>
                </c:pt>
                <c:pt idx="465">
                  <c:v>523.75819656466399</c:v>
                </c:pt>
                <c:pt idx="466">
                  <c:v>513.28564934350902</c:v>
                </c:pt>
                <c:pt idx="467">
                  <c:v>502.76183413910854</c:v>
                </c:pt>
                <c:pt idx="468">
                  <c:v>492.18724915152472</c:v>
                </c:pt>
                <c:pt idx="469">
                  <c:v>481.56239160340408</c:v>
                </c:pt>
                <c:pt idx="470">
                  <c:v>470.88775768492741</c:v>
                </c:pt>
                <c:pt idx="471">
                  <c:v>460.16384249966586</c:v>
                </c:pt>
                <c:pt idx="472">
                  <c:v>449.39114001134647</c:v>
                </c:pt>
                <c:pt idx="473">
                  <c:v>438.57014299153076</c:v>
                </c:pt>
                <c:pt idx="474">
                  <c:v>427.70134296820919</c:v>
                </c:pt>
                <c:pt idx="475">
                  <c:v>416.7852301753137</c:v>
                </c:pt>
                <c:pt idx="476">
                  <c:v>405.82229350315055</c:v>
                </c:pt>
                <c:pt idx="477">
                  <c:v>394.8130204497549</c:v>
                </c:pt>
                <c:pt idx="478">
                  <c:v>383.75789707316841</c:v>
                </c:pt>
                <c:pt idx="479">
                  <c:v>372.65740794464057</c:v>
                </c:pt>
                <c:pt idx="480">
                  <c:v>361.51203610275388</c:v>
                </c:pt>
                <c:pt idx="481">
                  <c:v>350.3222630084735</c:v>
                </c:pt>
                <c:pt idx="482">
                  <c:v>339.08856850112011</c:v>
                </c:pt>
                <c:pt idx="483">
                  <c:v>327.8114307552658</c:v>
                </c:pt>
                <c:pt idx="484">
                  <c:v>316.49132623855189</c:v>
                </c:pt>
                <c:pt idx="485">
                  <c:v>305.12872967042671</c:v>
                </c:pt>
                <c:pt idx="486">
                  <c:v>293.72411398180168</c:v>
                </c:pt>
                <c:pt idx="487">
                  <c:v>282.27795027562382</c:v>
                </c:pt>
                <c:pt idx="488">
                  <c:v>270.79070778836177</c:v>
                </c:pt>
                <c:pt idx="489">
                  <c:v>259.26285385240249</c:v>
                </c:pt>
                <c:pt idx="490">
                  <c:v>247.6948538593557</c:v>
                </c:pt>
                <c:pt idx="491">
                  <c:v>236.08717122426236</c:v>
                </c:pt>
                <c:pt idx="492">
                  <c:v>224.44026735070344</c:v>
                </c:pt>
                <c:pt idx="493">
                  <c:v>212.75460159680506</c:v>
                </c:pt>
                <c:pt idx="494">
                  <c:v>201.03063124213537</c:v>
                </c:pt>
                <c:pt idx="495">
                  <c:v>189.26881145548873</c:v>
                </c:pt>
                <c:pt idx="496">
                  <c:v>177.46959526355215</c:v>
                </c:pt>
                <c:pt idx="497">
                  <c:v>165.63343352044893</c:v>
                </c:pt>
                <c:pt idx="498">
                  <c:v>153.76077487815394</c:v>
                </c:pt>
                <c:pt idx="499">
                  <c:v>141.85206575777497</c:v>
                </c:pt>
                <c:pt idx="500">
                  <c:v>129.90775032169415</c:v>
                </c:pt>
                <c:pt idx="501">
                  <c:v>117.92827044656339</c:v>
                </c:pt>
                <c:pt idx="502">
                  <c:v>105.91406569714735</c:v>
                </c:pt>
                <c:pt idx="503">
                  <c:v>93.865573301007515</c:v>
                </c:pt>
                <c:pt idx="504">
                  <c:v>81.783228124020482</c:v>
                </c:pt>
                <c:pt idx="505">
                  <c:v>69.667462646723493</c:v>
                </c:pt>
                <c:pt idx="506">
                  <c:v>57.518706941480069</c:v>
                </c:pt>
                <c:pt idx="507">
                  <c:v>45.337388650458387</c:v>
                </c:pt>
                <c:pt idx="508">
                  <c:v>33.123932964414863</c:v>
                </c:pt>
                <c:pt idx="509">
                  <c:v>20.878762602275266</c:v>
                </c:pt>
                <c:pt idx="510">
                  <c:v>8.602297791505455</c:v>
                </c:pt>
                <c:pt idx="511">
                  <c:v>-3.7050437507362108</c:v>
                </c:pt>
                <c:pt idx="512">
                  <c:v>-3.7173664416571324</c:v>
                </c:pt>
                <c:pt idx="513">
                  <c:v>-3.7296891628324311</c:v>
                </c:pt>
                <c:pt idx="514">
                  <c:v>-3.7420119142616972</c:v>
                </c:pt>
                <c:pt idx="515">
                  <c:v>-3.7543346959445199</c:v>
                </c:pt>
                <c:pt idx="516">
                  <c:v>-3.7666575078804887</c:v>
                </c:pt>
                <c:pt idx="517">
                  <c:v>-3.7789803500691934</c:v>
                </c:pt>
                <c:pt idx="518">
                  <c:v>-3.7913032225102237</c:v>
                </c:pt>
                <c:pt idx="519">
                  <c:v>-3.8036261252031691</c:v>
                </c:pt>
                <c:pt idx="520">
                  <c:v>-3.815949058147619</c:v>
                </c:pt>
                <c:pt idx="521">
                  <c:v>-3.8282720213431634</c:v>
                </c:pt>
                <c:pt idx="522">
                  <c:v>-3.8405950147893919</c:v>
                </c:pt>
                <c:pt idx="523">
                  <c:v>-3.8529180384858939</c:v>
                </c:pt>
                <c:pt idx="524">
                  <c:v>-3.8652410924322593</c:v>
                </c:pt>
                <c:pt idx="525">
                  <c:v>-3.8775641766280775</c:v>
                </c:pt>
                <c:pt idx="526">
                  <c:v>-3.8898872910729385</c:v>
                </c:pt>
                <c:pt idx="527">
                  <c:v>-3.9022104357664316</c:v>
                </c:pt>
                <c:pt idx="528">
                  <c:v>-3.9145336107081463</c:v>
                </c:pt>
                <c:pt idx="529">
                  <c:v>-3.9268568158976724</c:v>
                </c:pt>
                <c:pt idx="530">
                  <c:v>-3.9391800513346</c:v>
                </c:pt>
                <c:pt idx="531">
                  <c:v>-3.9515033170185183</c:v>
                </c:pt>
                <c:pt idx="532">
                  <c:v>-3.9638266129490169</c:v>
                </c:pt>
                <c:pt idx="533">
                  <c:v>-3.9761499391256856</c:v>
                </c:pt>
                <c:pt idx="534">
                  <c:v>-3.9884732955481144</c:v>
                </c:pt>
                <c:pt idx="535">
                  <c:v>-4.000796682215892</c:v>
                </c:pt>
                <c:pt idx="536">
                  <c:v>-4.0131200991286091</c:v>
                </c:pt>
                <c:pt idx="537">
                  <c:v>-4.0254435462858549</c:v>
                </c:pt>
                <c:pt idx="538">
                  <c:v>-4.037767023687219</c:v>
                </c:pt>
                <c:pt idx="539">
                  <c:v>-4.0500905313322919</c:v>
                </c:pt>
                <c:pt idx="540">
                  <c:v>-4.0624140692206625</c:v>
                </c:pt>
                <c:pt idx="541">
                  <c:v>-4.0747376373519204</c:v>
                </c:pt>
                <c:pt idx="542">
                  <c:v>-4.0870612357256553</c:v>
                </c:pt>
                <c:pt idx="543">
                  <c:v>-4.0993848643414568</c:v>
                </c:pt>
                <c:pt idx="544">
                  <c:v>-4.1117085231989154</c:v>
                </c:pt>
                <c:pt idx="545">
                  <c:v>-4.1240322122976201</c:v>
                </c:pt>
                <c:pt idx="546">
                  <c:v>-4.1363559316371603</c:v>
                </c:pt>
                <c:pt idx="547">
                  <c:v>-4.1486796812171267</c:v>
                </c:pt>
                <c:pt idx="548">
                  <c:v>-4.1610034610371081</c:v>
                </c:pt>
                <c:pt idx="549">
                  <c:v>-4.1733272710966949</c:v>
                </c:pt>
                <c:pt idx="550">
                  <c:v>-4.185651111395476</c:v>
                </c:pt>
                <c:pt idx="551">
                  <c:v>-4.1979749819330419</c:v>
                </c:pt>
                <c:pt idx="552">
                  <c:v>-4.2102988827089813</c:v>
                </c:pt>
                <c:pt idx="553">
                  <c:v>-4.2226228137228849</c:v>
                </c:pt>
                <c:pt idx="554">
                  <c:v>-4.2349467749743424</c:v>
                </c:pt>
                <c:pt idx="555">
                  <c:v>-4.2472707664629423</c:v>
                </c:pt>
                <c:pt idx="556">
                  <c:v>-4.2595947881882754</c:v>
                </c:pt>
                <c:pt idx="557">
                  <c:v>-4.2719188401499313</c:v>
                </c:pt>
                <c:pt idx="558">
                  <c:v>-4.2842429223474996</c:v>
                </c:pt>
                <c:pt idx="559">
                  <c:v>-4.29656703478057</c:v>
                </c:pt>
                <c:pt idx="560">
                  <c:v>-4.3088911774487322</c:v>
                </c:pt>
                <c:pt idx="561">
                  <c:v>-4.3212153503515758</c:v>
                </c:pt>
                <c:pt idx="562">
                  <c:v>-4.3335395534886914</c:v>
                </c:pt>
                <c:pt idx="563">
                  <c:v>-4.3458637868596677</c:v>
                </c:pt>
                <c:pt idx="564">
                  <c:v>-4.3581880504640953</c:v>
                </c:pt>
                <c:pt idx="565">
                  <c:v>-4.370512344301563</c:v>
                </c:pt>
                <c:pt idx="566">
                  <c:v>-4.3828366683716613</c:v>
                </c:pt>
                <c:pt idx="567">
                  <c:v>-4.395161022673979</c:v>
                </c:pt>
                <c:pt idx="568">
                  <c:v>-4.4074854072081067</c:v>
                </c:pt>
                <c:pt idx="569">
                  <c:v>-4.4198098219736339</c:v>
                </c:pt>
                <c:pt idx="570">
                  <c:v>-4.4321342669701504</c:v>
                </c:pt>
                <c:pt idx="571">
                  <c:v>-4.4444587421972459</c:v>
                </c:pt>
                <c:pt idx="572">
                  <c:v>-4.4567832476545108</c:v>
                </c:pt>
                <c:pt idx="573">
                  <c:v>-4.469107783341534</c:v>
                </c:pt>
                <c:pt idx="574">
                  <c:v>-4.4814323492579051</c:v>
                </c:pt>
                <c:pt idx="575">
                  <c:v>-4.4937569454032147</c:v>
                </c:pt>
                <c:pt idx="576">
                  <c:v>-4.5060815717770524</c:v>
                </c:pt>
                <c:pt idx="577">
                  <c:v>-4.518406228379007</c:v>
                </c:pt>
                <c:pt idx="578">
                  <c:v>-4.530730915208669</c:v>
                </c:pt>
                <c:pt idx="579">
                  <c:v>-4.5430556322656281</c:v>
                </c:pt>
                <c:pt idx="580">
                  <c:v>-4.5553803795494749</c:v>
                </c:pt>
                <c:pt idx="581">
                  <c:v>-4.5677051570597982</c:v>
                </c:pt>
                <c:pt idx="582">
                  <c:v>-4.5800299647961875</c:v>
                </c:pt>
                <c:pt idx="583">
                  <c:v>-4.5923548027582335</c:v>
                </c:pt>
                <c:pt idx="584">
                  <c:v>-4.6046796709455258</c:v>
                </c:pt>
                <c:pt idx="585">
                  <c:v>-4.617004569357654</c:v>
                </c:pt>
                <c:pt idx="586">
                  <c:v>-4.6293294979942079</c:v>
                </c:pt>
                <c:pt idx="587">
                  <c:v>-4.6416544568547771</c:v>
                </c:pt>
                <c:pt idx="588">
                  <c:v>-4.6539794459389512</c:v>
                </c:pt>
                <c:pt idx="589">
                  <c:v>-4.6663044652463208</c:v>
                </c:pt>
                <c:pt idx="590">
                  <c:v>-4.6786295147764756</c:v>
                </c:pt>
                <c:pt idx="591">
                  <c:v>-4.6909545945290043</c:v>
                </c:pt>
                <c:pt idx="592">
                  <c:v>-4.7032797045034975</c:v>
                </c:pt>
                <c:pt idx="593">
                  <c:v>-4.7156048446995458</c:v>
                </c:pt>
                <c:pt idx="594">
                  <c:v>-4.7279300151167378</c:v>
                </c:pt>
                <c:pt idx="595">
                  <c:v>-4.7402552157546634</c:v>
                </c:pt>
                <c:pt idx="596">
                  <c:v>-4.7525804466129129</c:v>
                </c:pt>
                <c:pt idx="597">
                  <c:v>-4.7649057076910761</c:v>
                </c:pt>
                <c:pt idx="598">
                  <c:v>-4.7772309989887427</c:v>
                </c:pt>
                <c:pt idx="599">
                  <c:v>-4.7895563205055023</c:v>
                </c:pt>
                <c:pt idx="600">
                  <c:v>-4.8018816722409454</c:v>
                </c:pt>
                <c:pt idx="601">
                  <c:v>-4.8142070541946609</c:v>
                </c:pt>
                <c:pt idx="602">
                  <c:v>-4.8265324663662392</c:v>
                </c:pt>
                <c:pt idx="603">
                  <c:v>-4.8388579087552701</c:v>
                </c:pt>
                <c:pt idx="604">
                  <c:v>-4.8511833813613432</c:v>
                </c:pt>
                <c:pt idx="605">
                  <c:v>-4.863508884184049</c:v>
                </c:pt>
                <c:pt idx="606">
                  <c:v>-4.8758344172229764</c:v>
                </c:pt>
                <c:pt idx="607">
                  <c:v>-4.8881599804777158</c:v>
                </c:pt>
                <c:pt idx="608">
                  <c:v>-4.900485573947857</c:v>
                </c:pt>
                <c:pt idx="609">
                  <c:v>-4.9128111976329905</c:v>
                </c:pt>
                <c:pt idx="610">
                  <c:v>-4.925136851532705</c:v>
                </c:pt>
                <c:pt idx="611">
                  <c:v>-4.9374625356465911</c:v>
                </c:pt>
                <c:pt idx="612">
                  <c:v>-4.9497882499742385</c:v>
                </c:pt>
                <c:pt idx="613">
                  <c:v>-4.9621139945152368</c:v>
                </c:pt>
                <c:pt idx="614">
                  <c:v>-4.9744397692691757</c:v>
                </c:pt>
                <c:pt idx="615">
                  <c:v>-4.9867655742356458</c:v>
                </c:pt>
                <c:pt idx="616">
                  <c:v>-4.9990914094142367</c:v>
                </c:pt>
                <c:pt idx="617">
                  <c:v>-5.011417274804538</c:v>
                </c:pt>
                <c:pt idx="618">
                  <c:v>-5.0237431704061395</c:v>
                </c:pt>
                <c:pt idx="619">
                  <c:v>-5.0360690962186307</c:v>
                </c:pt>
                <c:pt idx="620">
                  <c:v>-5.0483950522416023</c:v>
                </c:pt>
                <c:pt idx="621">
                  <c:v>-5.0607210384746439</c:v>
                </c:pt>
                <c:pt idx="622">
                  <c:v>-5.0730470549173461</c:v>
                </c:pt>
                <c:pt idx="623">
                  <c:v>-5.0853731015692976</c:v>
                </c:pt>
                <c:pt idx="624">
                  <c:v>-5.0976991784300889</c:v>
                </c:pt>
                <c:pt idx="625">
                  <c:v>-5.1100252854993098</c:v>
                </c:pt>
                <c:pt idx="626">
                  <c:v>-5.1223514227765499</c:v>
                </c:pt>
                <c:pt idx="627">
                  <c:v>-5.1346775902613997</c:v>
                </c:pt>
                <c:pt idx="628">
                  <c:v>-5.1470037879534489</c:v>
                </c:pt>
                <c:pt idx="629">
                  <c:v>-5.1593300158522872</c:v>
                </c:pt>
                <c:pt idx="630">
                  <c:v>-5.1716562739575043</c:v>
                </c:pt>
                <c:pt idx="631">
                  <c:v>-5.1839825622686906</c:v>
                </c:pt>
                <c:pt idx="632">
                  <c:v>-5.1963088807854358</c:v>
                </c:pt>
                <c:pt idx="633">
                  <c:v>-5.2086352295073297</c:v>
                </c:pt>
                <c:pt idx="634">
                  <c:v>-5.2209616084339627</c:v>
                </c:pt>
                <c:pt idx="635">
                  <c:v>-5.2332880175649246</c:v>
                </c:pt>
                <c:pt idx="636">
                  <c:v>-5.2456144568998049</c:v>
                </c:pt>
                <c:pt idx="637">
                  <c:v>-5.2579409264381933</c:v>
                </c:pt>
                <c:pt idx="638">
                  <c:v>-5.2702674261796805</c:v>
                </c:pt>
                <c:pt idx="639">
                  <c:v>-5.282593956123856</c:v>
                </c:pt>
                <c:pt idx="640">
                  <c:v>-5.2949205162703095</c:v>
                </c:pt>
                <c:pt idx="641">
                  <c:v>-5.3072471066186315</c:v>
                </c:pt>
                <c:pt idx="642">
                  <c:v>-5.3195737271684118</c:v>
                </c:pt>
                <c:pt idx="643">
                  <c:v>-5.33190037791924</c:v>
                </c:pt>
                <c:pt idx="644">
                  <c:v>-5.3442270588707057</c:v>
                </c:pt>
                <c:pt idx="645">
                  <c:v>-5.3565537700223995</c:v>
                </c:pt>
                <c:pt idx="646">
                  <c:v>-5.3688805113739111</c:v>
                </c:pt>
                <c:pt idx="647">
                  <c:v>-5.381207282924831</c:v>
                </c:pt>
                <c:pt idx="648">
                  <c:v>-5.3935340846747488</c:v>
                </c:pt>
                <c:pt idx="649">
                  <c:v>-5.4058609166232543</c:v>
                </c:pt>
                <c:pt idx="650">
                  <c:v>-5.4181877787699371</c:v>
                </c:pt>
                <c:pt idx="651">
                  <c:v>-5.4305146711143877</c:v>
                </c:pt>
                <c:pt idx="652">
                  <c:v>-5.4428415936561958</c:v>
                </c:pt>
                <c:pt idx="653">
                  <c:v>-5.455168546394952</c:v>
                </c:pt>
                <c:pt idx="654">
                  <c:v>-5.4674955293302459</c:v>
                </c:pt>
                <c:pt idx="655">
                  <c:v>-5.4798225424616671</c:v>
                </c:pt>
                <c:pt idx="656">
                  <c:v>-5.4921495857888054</c:v>
                </c:pt>
                <c:pt idx="657">
                  <c:v>-5.5044766593112513</c:v>
                </c:pt>
                <c:pt idx="658">
                  <c:v>-5.5168037630285953</c:v>
                </c:pt>
                <c:pt idx="659">
                  <c:v>-5.5291308969404263</c:v>
                </c:pt>
                <c:pt idx="660">
                  <c:v>-5.5414580610463346</c:v>
                </c:pt>
                <c:pt idx="661">
                  <c:v>-5.5537852553459102</c:v>
                </c:pt>
                <c:pt idx="662">
                  <c:v>-5.5661124798387434</c:v>
                </c:pt>
                <c:pt idx="663">
                  <c:v>-5.5784397345244239</c:v>
                </c:pt>
                <c:pt idx="664">
                  <c:v>-5.5907670194025423</c:v>
                </c:pt>
                <c:pt idx="665">
                  <c:v>-5.6030943344726873</c:v>
                </c:pt>
                <c:pt idx="666">
                  <c:v>-5.6154216797344496</c:v>
                </c:pt>
                <c:pt idx="667">
                  <c:v>-5.6277490551874196</c:v>
                </c:pt>
                <c:pt idx="668">
                  <c:v>-5.6400764608311871</c:v>
                </c:pt>
                <c:pt idx="669">
                  <c:v>-5.6524038966653416</c:v>
                </c:pt>
                <c:pt idx="670">
                  <c:v>-5.6647313626894737</c:v>
                </c:pt>
                <c:pt idx="671">
                  <c:v>-5.6770588589031732</c:v>
                </c:pt>
                <c:pt idx="672">
                  <c:v>-5.6893863853060305</c:v>
                </c:pt>
                <c:pt idx="673">
                  <c:v>-5.7017139418976344</c:v>
                </c:pt>
                <c:pt idx="674">
                  <c:v>-5.7140415286775763</c:v>
                </c:pt>
                <c:pt idx="675">
                  <c:v>-5.7263691456454451</c:v>
                </c:pt>
                <c:pt idx="676">
                  <c:v>-5.7386967928008321</c:v>
                </c:pt>
                <c:pt idx="677">
                  <c:v>-5.7510244701433262</c:v>
                </c:pt>
                <c:pt idx="678">
                  <c:v>-5.7633521776725178</c:v>
                </c:pt>
                <c:pt idx="679">
                  <c:v>-5.7756799153879967</c:v>
                </c:pt>
                <c:pt idx="680">
                  <c:v>-5.7880076832893534</c:v>
                </c:pt>
                <c:pt idx="681">
                  <c:v>-5.8003354813761776</c:v>
                </c:pt>
                <c:pt idx="682">
                  <c:v>-5.8126633096480598</c:v>
                </c:pt>
                <c:pt idx="683">
                  <c:v>-5.8249911681045896</c:v>
                </c:pt>
                <c:pt idx="684">
                  <c:v>-5.8373190567453568</c:v>
                </c:pt>
                <c:pt idx="685">
                  <c:v>-5.8496469755699518</c:v>
                </c:pt>
                <c:pt idx="686">
                  <c:v>-5.8619749245779644</c:v>
                </c:pt>
                <c:pt idx="687">
                  <c:v>-5.8743029037689851</c:v>
                </c:pt>
                <c:pt idx="688">
                  <c:v>-5.8866309131426036</c:v>
                </c:pt>
                <c:pt idx="689">
                  <c:v>-5.8989589526984103</c:v>
                </c:pt>
                <c:pt idx="690">
                  <c:v>-5.911287022435995</c:v>
                </c:pt>
                <c:pt idx="691">
                  <c:v>-5.9236151223549482</c:v>
                </c:pt>
                <c:pt idx="692">
                  <c:v>-5.9359432524548597</c:v>
                </c:pt>
                <c:pt idx="693">
                  <c:v>-5.9482714127353189</c:v>
                </c:pt>
                <c:pt idx="694">
                  <c:v>-5.9605996031959165</c:v>
                </c:pt>
                <c:pt idx="695">
                  <c:v>-5.9729278238362422</c:v>
                </c:pt>
                <c:pt idx="696">
                  <c:v>-5.9852560746558865</c:v>
                </c:pt>
                <c:pt idx="697">
                  <c:v>-5.997584355654439</c:v>
                </c:pt>
                <c:pt idx="698">
                  <c:v>-6.0099126668314904</c:v>
                </c:pt>
                <c:pt idx="699">
                  <c:v>-6.0222410081866302</c:v>
                </c:pt>
                <c:pt idx="700">
                  <c:v>-6.0345693797194491</c:v>
                </c:pt>
                <c:pt idx="701">
                  <c:v>-6.0468977814295366</c:v>
                </c:pt>
                <c:pt idx="702">
                  <c:v>-6.0592262133164834</c:v>
                </c:pt>
                <c:pt idx="703">
                  <c:v>-6.071554675379879</c:v>
                </c:pt>
                <c:pt idx="704">
                  <c:v>-6.0838831676193132</c:v>
                </c:pt>
                <c:pt idx="705">
                  <c:v>-6.0962116900343775</c:v>
                </c:pt>
                <c:pt idx="706">
                  <c:v>-6.1085402426246604</c:v>
                </c:pt>
                <c:pt idx="707">
                  <c:v>-6.1208688253897527</c:v>
                </c:pt>
                <c:pt idx="708">
                  <c:v>-6.1331974383292449</c:v>
                </c:pt>
                <c:pt idx="709">
                  <c:v>-6.1455260814427266</c:v>
                </c:pt>
                <c:pt idx="710">
                  <c:v>-6.1578547547297875</c:v>
                </c:pt>
                <c:pt idx="711">
                  <c:v>-6.1701834581900181</c:v>
                </c:pt>
                <c:pt idx="712">
                  <c:v>-6.182512191823009</c:v>
                </c:pt>
                <c:pt idx="713">
                  <c:v>-6.1948409556283499</c:v>
                </c:pt>
                <c:pt idx="714">
                  <c:v>-6.2071697496056313</c:v>
                </c:pt>
                <c:pt idx="715">
                  <c:v>-6.2194985737544428</c:v>
                </c:pt>
                <c:pt idx="716">
                  <c:v>-6.2318274280743751</c:v>
                </c:pt>
                <c:pt idx="717">
                  <c:v>-6.2441563125650177</c:v>
                </c:pt>
                <c:pt idx="718">
                  <c:v>-6.2564852272259603</c:v>
                </c:pt>
                <c:pt idx="719">
                  <c:v>-6.2688141720567945</c:v>
                </c:pt>
                <c:pt idx="720">
                  <c:v>-6.2811431470571089</c:v>
                </c:pt>
                <c:pt idx="721">
                  <c:v>-6.2934721522264949</c:v>
                </c:pt>
                <c:pt idx="722">
                  <c:v>-6.3058011875645423</c:v>
                </c:pt>
                <c:pt idx="723">
                  <c:v>-6.3181302530708408</c:v>
                </c:pt>
                <c:pt idx="724">
                  <c:v>-6.3304593487449807</c:v>
                </c:pt>
                <c:pt idx="725">
                  <c:v>-6.3427884745865519</c:v>
                </c:pt>
                <c:pt idx="726">
                  <c:v>-6.3551176305951449</c:v>
                </c:pt>
                <c:pt idx="727">
                  <c:v>-6.3674468167703502</c:v>
                </c:pt>
                <c:pt idx="728">
                  <c:v>-6.3797760331117574</c:v>
                </c:pt>
                <c:pt idx="729">
                  <c:v>-6.3921052796189572</c:v>
                </c:pt>
                <c:pt idx="730">
                  <c:v>-6.4044345562915392</c:v>
                </c:pt>
                <c:pt idx="731">
                  <c:v>-6.416763863129094</c:v>
                </c:pt>
                <c:pt idx="732">
                  <c:v>-6.4290932001312111</c:v>
                </c:pt>
                <c:pt idx="733">
                  <c:v>-6.4414225672974812</c:v>
                </c:pt>
                <c:pt idx="734">
                  <c:v>-6.4537519646274939</c:v>
                </c:pt>
                <c:pt idx="735">
                  <c:v>-6.4660813921208398</c:v>
                </c:pt>
                <c:pt idx="736">
                  <c:v>-6.4784108497771093</c:v>
                </c:pt>
                <c:pt idx="737">
                  <c:v>-6.4907403375958923</c:v>
                </c:pt>
                <c:pt idx="738">
                  <c:v>-6.5030698555767792</c:v>
                </c:pt>
                <c:pt idx="739">
                  <c:v>-6.5153994037193597</c:v>
                </c:pt>
                <c:pt idx="740">
                  <c:v>-6.5277289820232243</c:v>
                </c:pt>
                <c:pt idx="741">
                  <c:v>-6.5400585904879636</c:v>
                </c:pt>
                <c:pt idx="742">
                  <c:v>-6.5523882291131672</c:v>
                </c:pt>
                <c:pt idx="743">
                  <c:v>-6.5647178978984257</c:v>
                </c:pt>
                <c:pt idx="744">
                  <c:v>-6.5770475968433288</c:v>
                </c:pt>
                <c:pt idx="745">
                  <c:v>-6.5893773259474671</c:v>
                </c:pt>
                <c:pt idx="746">
                  <c:v>-6.6017070852104309</c:v>
                </c:pt>
                <c:pt idx="747">
                  <c:v>-6.6140368746318101</c:v>
                </c:pt>
                <c:pt idx="748">
                  <c:v>-6.6263666942111952</c:v>
                </c:pt>
                <c:pt idx="749">
                  <c:v>-6.6386965439481758</c:v>
                </c:pt>
                <c:pt idx="750">
                  <c:v>-6.6510264238423424</c:v>
                </c:pt>
                <c:pt idx="751">
                  <c:v>-6.6633563338932857</c:v>
                </c:pt>
                <c:pt idx="752">
                  <c:v>-6.6756862741005953</c:v>
                </c:pt>
                <c:pt idx="753">
                  <c:v>-6.6880162444638618</c:v>
                </c:pt>
                <c:pt idx="754">
                  <c:v>-6.7003462449826756</c:v>
                </c:pt>
                <c:pt idx="755">
                  <c:v>-6.7126762756566265</c:v>
                </c:pt>
                <c:pt idx="756">
                  <c:v>-6.7250063364853041</c:v>
                </c:pt>
                <c:pt idx="757">
                  <c:v>-6.7373364274682999</c:v>
                </c:pt>
                <c:pt idx="758">
                  <c:v>-6.7496665486052034</c:v>
                </c:pt>
                <c:pt idx="759">
                  <c:v>-6.7619966998956054</c:v>
                </c:pt>
                <c:pt idx="760">
                  <c:v>-6.7743268813390953</c:v>
                </c:pt>
                <c:pt idx="761">
                  <c:v>-6.7866570929352639</c:v>
                </c:pt>
                <c:pt idx="762">
                  <c:v>-6.7989873346837015</c:v>
                </c:pt>
                <c:pt idx="763">
                  <c:v>-6.811317606583998</c:v>
                </c:pt>
                <c:pt idx="764">
                  <c:v>-6.8236479086357438</c:v>
                </c:pt>
                <c:pt idx="765">
                  <c:v>-6.8359782408385286</c:v>
                </c:pt>
                <c:pt idx="766">
                  <c:v>-6.8483086031919438</c:v>
                </c:pt>
                <c:pt idx="767">
                  <c:v>-6.8606389956955791</c:v>
                </c:pt>
                <c:pt idx="768">
                  <c:v>-6.8729694183490242</c:v>
                </c:pt>
                <c:pt idx="769">
                  <c:v>-6.8852998711518696</c:v>
                </c:pt>
                <c:pt idx="770">
                  <c:v>-6.8976303541037058</c:v>
                </c:pt>
                <c:pt idx="771">
                  <c:v>-6.9099608672041235</c:v>
                </c:pt>
                <c:pt idx="772">
                  <c:v>-6.9222914104527122</c:v>
                </c:pt>
                <c:pt idx="773">
                  <c:v>-6.9346219838490626</c:v>
                </c:pt>
                <c:pt idx="774">
                  <c:v>-6.9469525873927651</c:v>
                </c:pt>
                <c:pt idx="775">
                  <c:v>-6.9592832210834095</c:v>
                </c:pt>
                <c:pt idx="776">
                  <c:v>-6.9716138849205862</c:v>
                </c:pt>
                <c:pt idx="777">
                  <c:v>-6.9839445789038859</c:v>
                </c:pt>
                <c:pt idx="778">
                  <c:v>-6.996275303032899</c:v>
                </c:pt>
                <c:pt idx="779">
                  <c:v>-7.0086060573072153</c:v>
                </c:pt>
                <c:pt idx="780">
                  <c:v>-7.0209368417264253</c:v>
                </c:pt>
                <c:pt idx="781">
                  <c:v>-7.0332676562901186</c:v>
                </c:pt>
                <c:pt idx="782">
                  <c:v>-7.0455985009978859</c:v>
                </c:pt>
                <c:pt idx="783">
                  <c:v>-7.0579293758493176</c:v>
                </c:pt>
                <c:pt idx="784">
                  <c:v>-7.0702602808440043</c:v>
                </c:pt>
                <c:pt idx="785">
                  <c:v>-7.0825912159815356</c:v>
                </c:pt>
                <c:pt idx="786">
                  <c:v>-7.0949221812615031</c:v>
                </c:pt>
                <c:pt idx="787">
                  <c:v>-7.1072531766834954</c:v>
                </c:pt>
                <c:pt idx="788">
                  <c:v>-7.1195842022471041</c:v>
                </c:pt>
                <c:pt idx="789">
                  <c:v>-7.1319152579519187</c:v>
                </c:pt>
                <c:pt idx="790">
                  <c:v>-7.1442463437975299</c:v>
                </c:pt>
                <c:pt idx="791">
                  <c:v>-7.1565774597835281</c:v>
                </c:pt>
                <c:pt idx="792">
                  <c:v>-7.168908605909504</c:v>
                </c:pt>
                <c:pt idx="793">
                  <c:v>-7.1812397821750471</c:v>
                </c:pt>
                <c:pt idx="794">
                  <c:v>-7.1935709885797481</c:v>
                </c:pt>
                <c:pt idx="795">
                  <c:v>-7.2059022251231966</c:v>
                </c:pt>
                <c:pt idx="796">
                  <c:v>-7.218233491804984</c:v>
                </c:pt>
                <c:pt idx="797">
                  <c:v>-7.2305647886247</c:v>
                </c:pt>
                <c:pt idx="798">
                  <c:v>-7.2428961155819351</c:v>
                </c:pt>
                <c:pt idx="799">
                  <c:v>-7.25522747267628</c:v>
                </c:pt>
                <c:pt idx="800">
                  <c:v>-7.2675588599073242</c:v>
                </c:pt>
                <c:pt idx="801">
                  <c:v>-7.2798902772746592</c:v>
                </c:pt>
                <c:pt idx="802">
                  <c:v>-7.2922217247778747</c:v>
                </c:pt>
                <c:pt idx="803">
                  <c:v>-7.3045532024165603</c:v>
                </c:pt>
                <c:pt idx="804">
                  <c:v>-7.3168847101903074</c:v>
                </c:pt>
                <c:pt idx="805">
                  <c:v>-7.3292162480987058</c:v>
                </c:pt>
                <c:pt idx="806">
                  <c:v>-7.3415478161413459</c:v>
                </c:pt>
                <c:pt idx="807">
                  <c:v>-7.3538794143178183</c:v>
                </c:pt>
                <c:pt idx="808">
                  <c:v>-7.3662110426277136</c:v>
                </c:pt>
                <c:pt idx="809">
                  <c:v>-7.3785427010706215</c:v>
                </c:pt>
                <c:pt idx="810">
                  <c:v>-7.3908743896461333</c:v>
                </c:pt>
                <c:pt idx="811">
                  <c:v>-7.4032061083538387</c:v>
                </c:pt>
                <c:pt idx="812">
                  <c:v>-7.4155378571933284</c:v>
                </c:pt>
                <c:pt idx="813">
                  <c:v>-7.4278696361641918</c:v>
                </c:pt>
                <c:pt idx="814">
                  <c:v>-7.4402014452660206</c:v>
                </c:pt>
                <c:pt idx="815">
                  <c:v>-7.4525332844984042</c:v>
                </c:pt>
                <c:pt idx="816">
                  <c:v>-7.4648651538609334</c:v>
                </c:pt>
                <c:pt idx="817">
                  <c:v>-7.4771970533531986</c:v>
                </c:pt>
                <c:pt idx="818">
                  <c:v>-7.4895289829747895</c:v>
                </c:pt>
                <c:pt idx="819">
                  <c:v>-7.5018609427252976</c:v>
                </c:pt>
                <c:pt idx="820">
                  <c:v>-7.5141929326043124</c:v>
                </c:pt>
                <c:pt idx="821">
                  <c:v>-7.5265249526114246</c:v>
                </c:pt>
                <c:pt idx="822">
                  <c:v>-7.5388570027462247</c:v>
                </c:pt>
                <c:pt idx="823">
                  <c:v>-7.5511890830083033</c:v>
                </c:pt>
                <c:pt idx="824">
                  <c:v>-7.5635211933972499</c:v>
                </c:pt>
                <c:pt idx="825">
                  <c:v>-7.5758533339126561</c:v>
                </c:pt>
                <c:pt idx="826">
                  <c:v>-7.5881855045541116</c:v>
                </c:pt>
                <c:pt idx="827">
                  <c:v>-7.6005177053212067</c:v>
                </c:pt>
                <c:pt idx="828">
                  <c:v>-7.6128499362135322</c:v>
                </c:pt>
                <c:pt idx="829">
                  <c:v>-7.6251821972306786</c:v>
                </c:pt>
                <c:pt idx="830">
                  <c:v>-7.6375144883722363</c:v>
                </c:pt>
                <c:pt idx="831">
                  <c:v>-7.6498468096377952</c:v>
                </c:pt>
                <c:pt idx="832">
                  <c:v>-7.6621791610269456</c:v>
                </c:pt>
                <c:pt idx="833">
                  <c:v>-7.6745115425392783</c:v>
                </c:pt>
                <c:pt idx="834">
                  <c:v>-7.6868439541743836</c:v>
                </c:pt>
                <c:pt idx="835">
                  <c:v>-7.6991763959318522</c:v>
                </c:pt>
                <c:pt idx="836">
                  <c:v>-7.7115088678112746</c:v>
                </c:pt>
                <c:pt idx="837">
                  <c:v>-7.7238413698122415</c:v>
                </c:pt>
                <c:pt idx="838">
                  <c:v>-7.7361739019343423</c:v>
                </c:pt>
                <c:pt idx="839">
                  <c:v>-7.7485064641771677</c:v>
                </c:pt>
                <c:pt idx="840">
                  <c:v>-7.7608390565403091</c:v>
                </c:pt>
                <c:pt idx="841">
                  <c:v>-7.7731716790233563</c:v>
                </c:pt>
                <c:pt idx="842">
                  <c:v>-7.7855043316258996</c:v>
                </c:pt>
                <c:pt idx="843">
                  <c:v>-7.7978370143475297</c:v>
                </c:pt>
                <c:pt idx="844">
                  <c:v>-7.8101697271878363</c:v>
                </c:pt>
                <c:pt idx="845">
                  <c:v>-7.8225024701464108</c:v>
                </c:pt>
                <c:pt idx="846">
                  <c:v>-7.8348352432228436</c:v>
                </c:pt>
                <c:pt idx="847">
                  <c:v>-7.8471680464167246</c:v>
                </c:pt>
                <c:pt idx="848">
                  <c:v>-7.8595008797276442</c:v>
                </c:pt>
                <c:pt idx="849">
                  <c:v>-7.871833743155193</c:v>
                </c:pt>
                <c:pt idx="850">
                  <c:v>-7.8841666366989624</c:v>
                </c:pt>
                <c:pt idx="851">
                  <c:v>-7.8964995603585422</c:v>
                </c:pt>
                <c:pt idx="852">
                  <c:v>-7.9088325141335227</c:v>
                </c:pt>
                <c:pt idx="853">
                  <c:v>-7.9211654980234938</c:v>
                </c:pt>
                <c:pt idx="854">
                  <c:v>-7.9334985120280468</c:v>
                </c:pt>
                <c:pt idx="855">
                  <c:v>-7.9458315561467723</c:v>
                </c:pt>
                <c:pt idx="856">
                  <c:v>-7.9581646303792599</c:v>
                </c:pt>
                <c:pt idx="857">
                  <c:v>-7.9704977347251011</c:v>
                </c:pt>
                <c:pt idx="858">
                  <c:v>-7.9828308691838856</c:v>
                </c:pt>
                <c:pt idx="859">
                  <c:v>-7.9951640337552048</c:v>
                </c:pt>
                <c:pt idx="860">
                  <c:v>-8.0074972284386483</c:v>
                </c:pt>
                <c:pt idx="861">
                  <c:v>-8.0198304532338067</c:v>
                </c:pt>
                <c:pt idx="862">
                  <c:v>-8.0321637081402706</c:v>
                </c:pt>
                <c:pt idx="863">
                  <c:v>-8.0444969931576313</c:v>
                </c:pt>
                <c:pt idx="864">
                  <c:v>-8.0568303082854786</c:v>
                </c:pt>
                <c:pt idx="865">
                  <c:v>-8.0691636535234021</c:v>
                </c:pt>
                <c:pt idx="866">
                  <c:v>-8.0814970288709933</c:v>
                </c:pt>
                <c:pt idx="867">
                  <c:v>-8.0938304343278435</c:v>
                </c:pt>
                <c:pt idx="868">
                  <c:v>-8.1061638698935425</c:v>
                </c:pt>
                <c:pt idx="869">
                  <c:v>-8.1184973355676799</c:v>
                </c:pt>
                <c:pt idx="870">
                  <c:v>-8.1308308313498472</c:v>
                </c:pt>
                <c:pt idx="871">
                  <c:v>-8.1431643572396339</c:v>
                </c:pt>
                <c:pt idx="872">
                  <c:v>-8.1554979132366316</c:v>
                </c:pt>
                <c:pt idx="873">
                  <c:v>-8.16783149934043</c:v>
                </c:pt>
                <c:pt idx="874">
                  <c:v>-8.1801651155506203</c:v>
                </c:pt>
                <c:pt idx="875">
                  <c:v>-8.1924987618667942</c:v>
                </c:pt>
                <c:pt idx="876">
                  <c:v>-8.2048324382885394</c:v>
                </c:pt>
                <c:pt idx="877">
                  <c:v>-8.2171661448154492</c:v>
                </c:pt>
                <c:pt idx="878">
                  <c:v>-8.2294998814471114</c:v>
                </c:pt>
                <c:pt idx="879">
                  <c:v>-8.2418336481831194</c:v>
                </c:pt>
                <c:pt idx="880">
                  <c:v>-8.2541674450230609</c:v>
                </c:pt>
                <c:pt idx="881">
                  <c:v>-8.2665012719665292</c:v>
                </c:pt>
                <c:pt idx="882">
                  <c:v>-8.2788351290131121</c:v>
                </c:pt>
                <c:pt idx="883">
                  <c:v>-8.291169016162403</c:v>
                </c:pt>
                <c:pt idx="884">
                  <c:v>-8.3035029334139896</c:v>
                </c:pt>
                <c:pt idx="885">
                  <c:v>-8.3158368807674652</c:v>
                </c:pt>
                <c:pt idx="886">
                  <c:v>-8.3281708582224176</c:v>
                </c:pt>
                <c:pt idx="887">
                  <c:v>-8.3405048657784402</c:v>
                </c:pt>
                <c:pt idx="888">
                  <c:v>-8.3528389034351207</c:v>
                </c:pt>
                <c:pt idx="889">
                  <c:v>-8.3651729711920524</c:v>
                </c:pt>
                <c:pt idx="890">
                  <c:v>-8.3775070690488231</c:v>
                </c:pt>
                <c:pt idx="891">
                  <c:v>-8.3898411970050262</c:v>
                </c:pt>
                <c:pt idx="892">
                  <c:v>-8.4021753550602511</c:v>
                </c:pt>
                <c:pt idx="893">
                  <c:v>-8.4145095432140877</c:v>
                </c:pt>
                <c:pt idx="894">
                  <c:v>-8.4268437614661273</c:v>
                </c:pt>
                <c:pt idx="895">
                  <c:v>-8.4391780098159597</c:v>
                </c:pt>
                <c:pt idx="896">
                  <c:v>-8.4515122882631761</c:v>
                </c:pt>
                <c:pt idx="897">
                  <c:v>-8.4638465968073664</c:v>
                </c:pt>
                <c:pt idx="898">
                  <c:v>-8.4761809354481219</c:v>
                </c:pt>
                <c:pt idx="899">
                  <c:v>-8.4885153041850341</c:v>
                </c:pt>
                <c:pt idx="900">
                  <c:v>-8.5008497030176908</c:v>
                </c:pt>
                <c:pt idx="901">
                  <c:v>-8.5131841319456854</c:v>
                </c:pt>
                <c:pt idx="902">
                  <c:v>-8.5255185909686073</c:v>
                </c:pt>
                <c:pt idx="903">
                  <c:v>-8.5378530800860464</c:v>
                </c:pt>
                <c:pt idx="904">
                  <c:v>-8.5501875992975958</c:v>
                </c:pt>
                <c:pt idx="905">
                  <c:v>-8.5625221486028433</c:v>
                </c:pt>
                <c:pt idx="906">
                  <c:v>-8.5748567280013805</c:v>
                </c:pt>
                <c:pt idx="907">
                  <c:v>-8.5871913374927988</c:v>
                </c:pt>
                <c:pt idx="908">
                  <c:v>-8.5995259770766879</c:v>
                </c:pt>
                <c:pt idx="909">
                  <c:v>-8.6118606467526391</c:v>
                </c:pt>
                <c:pt idx="910">
                  <c:v>-8.6241953465202421</c:v>
                </c:pt>
                <c:pt idx="911">
                  <c:v>-8.6365300763790884</c:v>
                </c:pt>
                <c:pt idx="912">
                  <c:v>-8.6488648363287677</c:v>
                </c:pt>
                <c:pt idx="913">
                  <c:v>-8.6611996263688713</c:v>
                </c:pt>
                <c:pt idx="914">
                  <c:v>-8.673534446498989</c:v>
                </c:pt>
                <c:pt idx="915">
                  <c:v>-8.6858692967187121</c:v>
                </c:pt>
                <c:pt idx="916">
                  <c:v>-8.6982041770276322</c:v>
                </c:pt>
                <c:pt idx="917">
                  <c:v>-8.7105390874253388</c:v>
                </c:pt>
                <c:pt idx="918">
                  <c:v>-8.7228740279114216</c:v>
                </c:pt>
                <c:pt idx="919">
                  <c:v>-8.7352089984854739</c:v>
                </c:pt>
                <c:pt idx="920">
                  <c:v>-8.7475439991470836</c:v>
                </c:pt>
                <c:pt idx="921">
                  <c:v>-8.7598790298958438</c:v>
                </c:pt>
                <c:pt idx="922">
                  <c:v>-8.7722140907313424</c:v>
                </c:pt>
                <c:pt idx="923">
                  <c:v>-8.7845491816531727</c:v>
                </c:pt>
                <c:pt idx="924">
                  <c:v>-8.7968843026609242</c:v>
                </c:pt>
                <c:pt idx="925">
                  <c:v>-8.8092194537541868</c:v>
                </c:pt>
                <c:pt idx="926">
                  <c:v>-8.8215546349325518</c:v>
                </c:pt>
                <c:pt idx="927">
                  <c:v>-8.8338898461956106</c:v>
                </c:pt>
                <c:pt idx="928">
                  <c:v>-8.8462250875429529</c:v>
                </c:pt>
                <c:pt idx="929">
                  <c:v>-8.8585603589741702</c:v>
                </c:pt>
                <c:pt idx="930">
                  <c:v>-8.870895660488852</c:v>
                </c:pt>
                <c:pt idx="931">
                  <c:v>-8.8832309920865899</c:v>
                </c:pt>
                <c:pt idx="932">
                  <c:v>-8.8955663537669736</c:v>
                </c:pt>
                <c:pt idx="933">
                  <c:v>-8.9079017455295944</c:v>
                </c:pt>
                <c:pt idx="934">
                  <c:v>-8.9202371673740437</c:v>
                </c:pt>
                <c:pt idx="935">
                  <c:v>-8.9325726192999113</c:v>
                </c:pt>
                <c:pt idx="936">
                  <c:v>-8.9449081013067886</c:v>
                </c:pt>
                <c:pt idx="937">
                  <c:v>-8.9572436133942652</c:v>
                </c:pt>
                <c:pt idx="938">
                  <c:v>-8.9695791555619326</c:v>
                </c:pt>
                <c:pt idx="939">
                  <c:v>-8.9819147278093805</c:v>
                </c:pt>
                <c:pt idx="940">
                  <c:v>-8.9942503301362002</c:v>
                </c:pt>
                <c:pt idx="941">
                  <c:v>-9.0065859625419833</c:v>
                </c:pt>
                <c:pt idx="942">
                  <c:v>-9.0189216250263193</c:v>
                </c:pt>
                <c:pt idx="943">
                  <c:v>-9.0312573175887998</c:v>
                </c:pt>
                <c:pt idx="944">
                  <c:v>-9.0435930402290143</c:v>
                </c:pt>
                <c:pt idx="945">
                  <c:v>-9.0559287929465544</c:v>
                </c:pt>
                <c:pt idx="946">
                  <c:v>-9.0682645757410114</c:v>
                </c:pt>
                <c:pt idx="947">
                  <c:v>-9.080600388611975</c:v>
                </c:pt>
                <c:pt idx="948">
                  <c:v>-9.092936231559035</c:v>
                </c:pt>
                <c:pt idx="949">
                  <c:v>-9.1052721045817844</c:v>
                </c:pt>
                <c:pt idx="950">
                  <c:v>-9.1176080076798129</c:v>
                </c:pt>
                <c:pt idx="951">
                  <c:v>-9.1299439408527103</c:v>
                </c:pt>
                <c:pt idx="952">
                  <c:v>-9.142279904100068</c:v>
                </c:pt>
                <c:pt idx="953">
                  <c:v>-9.1546158974214773</c:v>
                </c:pt>
                <c:pt idx="954">
                  <c:v>-9.166951920816528</c:v>
                </c:pt>
                <c:pt idx="955">
                  <c:v>-9.1792879742848115</c:v>
                </c:pt>
                <c:pt idx="956">
                  <c:v>-9.1916240578259174</c:v>
                </c:pt>
                <c:pt idx="957">
                  <c:v>-9.203960171439439</c:v>
                </c:pt>
                <c:pt idx="958">
                  <c:v>-9.2162963151249642</c:v>
                </c:pt>
                <c:pt idx="959">
                  <c:v>-9.2286324888820861</c:v>
                </c:pt>
                <c:pt idx="960">
                  <c:v>-9.2409686927103944</c:v>
                </c:pt>
                <c:pt idx="961">
                  <c:v>-9.2533049266094789</c:v>
                </c:pt>
                <c:pt idx="962">
                  <c:v>-9.2656411905789309</c:v>
                </c:pt>
                <c:pt idx="963">
                  <c:v>-9.2779774846183418</c:v>
                </c:pt>
                <c:pt idx="964">
                  <c:v>-9.2903138087273014</c:v>
                </c:pt>
                <c:pt idx="965">
                  <c:v>-9.302650162905401</c:v>
                </c:pt>
                <c:pt idx="966">
                  <c:v>-9.3149865471522322</c:v>
                </c:pt>
                <c:pt idx="967">
                  <c:v>-9.3273229614673845</c:v>
                </c:pt>
                <c:pt idx="968">
                  <c:v>-9.3396594058504494</c:v>
                </c:pt>
                <c:pt idx="969">
                  <c:v>-9.3519958803010166</c:v>
                </c:pt>
                <c:pt idx="970">
                  <c:v>-9.3643323848186775</c:v>
                </c:pt>
                <c:pt idx="971">
                  <c:v>-9.3766689194030235</c:v>
                </c:pt>
                <c:pt idx="972">
                  <c:v>-9.3890054840536461</c:v>
                </c:pt>
                <c:pt idx="973">
                  <c:v>-9.4013420787701332</c:v>
                </c:pt>
                <c:pt idx="974">
                  <c:v>-9.4136787035520779</c:v>
                </c:pt>
                <c:pt idx="975">
                  <c:v>-9.42601535839907</c:v>
                </c:pt>
                <c:pt idx="976">
                  <c:v>-9.4383520433107009</c:v>
                </c:pt>
                <c:pt idx="977">
                  <c:v>-9.450688758286562</c:v>
                </c:pt>
                <c:pt idx="978">
                  <c:v>-9.4630255033262429</c:v>
                </c:pt>
                <c:pt idx="979">
                  <c:v>-9.4753622784293334</c:v>
                </c:pt>
                <c:pt idx="980">
                  <c:v>-9.4876990835954267</c:v>
                </c:pt>
                <c:pt idx="981">
                  <c:v>-9.5000359188241124</c:v>
                </c:pt>
                <c:pt idx="982">
                  <c:v>-9.5123727841149819</c:v>
                </c:pt>
                <c:pt idx="983">
                  <c:v>-9.5247096794676249</c:v>
                </c:pt>
                <c:pt idx="984">
                  <c:v>-9.5370466048816329</c:v>
                </c:pt>
                <c:pt idx="985">
                  <c:v>-9.5493835603565955</c:v>
                </c:pt>
                <c:pt idx="986">
                  <c:v>-9.561720545892106</c:v>
                </c:pt>
                <c:pt idx="987">
                  <c:v>-9.5740575614877539</c:v>
                </c:pt>
                <c:pt idx="988">
                  <c:v>-9.586394607143129</c:v>
                </c:pt>
                <c:pt idx="989">
                  <c:v>-9.5987316828578226</c:v>
                </c:pt>
                <c:pt idx="990">
                  <c:v>-9.6110687886314263</c:v>
                </c:pt>
                <c:pt idx="991">
                  <c:v>-9.6234059244635315</c:v>
                </c:pt>
                <c:pt idx="992">
                  <c:v>-9.6357430903537278</c:v>
                </c:pt>
                <c:pt idx="993">
                  <c:v>-9.6480802863016066</c:v>
                </c:pt>
                <c:pt idx="994">
                  <c:v>-9.6604175123067577</c:v>
                </c:pt>
                <c:pt idx="995">
                  <c:v>-9.6727547683687725</c:v>
                </c:pt>
                <c:pt idx="996">
                  <c:v>-9.6850920544872423</c:v>
                </c:pt>
                <c:pt idx="997">
                  <c:v>-9.6974293706617569</c:v>
                </c:pt>
                <c:pt idx="998">
                  <c:v>-9.7097667168919077</c:v>
                </c:pt>
                <c:pt idx="999">
                  <c:v>-9.7221040931772862</c:v>
                </c:pt>
                <c:pt idx="1000">
                  <c:v>-9.7344414995174837</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33.100100000000204</c:v>
                </c:pt>
                <c:pt idx="513">
                  <c:v>33.100200000000207</c:v>
                </c:pt>
                <c:pt idx="514">
                  <c:v>33.10030000000021</c:v>
                </c:pt>
                <c:pt idx="515">
                  <c:v>33.100400000000214</c:v>
                </c:pt>
                <c:pt idx="516">
                  <c:v>33.100500000000217</c:v>
                </c:pt>
                <c:pt idx="517">
                  <c:v>33.10060000000022</c:v>
                </c:pt>
                <c:pt idx="518">
                  <c:v>33.100700000000224</c:v>
                </c:pt>
                <c:pt idx="519">
                  <c:v>33.100800000000227</c:v>
                </c:pt>
                <c:pt idx="520">
                  <c:v>33.10090000000023</c:v>
                </c:pt>
                <c:pt idx="521">
                  <c:v>33.101000000000234</c:v>
                </c:pt>
                <c:pt idx="522">
                  <c:v>33.101100000000237</c:v>
                </c:pt>
                <c:pt idx="523">
                  <c:v>33.10120000000024</c:v>
                </c:pt>
                <c:pt idx="524">
                  <c:v>33.101300000000244</c:v>
                </c:pt>
                <c:pt idx="525">
                  <c:v>33.101400000000247</c:v>
                </c:pt>
                <c:pt idx="526">
                  <c:v>33.10150000000025</c:v>
                </c:pt>
                <c:pt idx="527">
                  <c:v>33.101600000000253</c:v>
                </c:pt>
                <c:pt idx="528">
                  <c:v>33.101700000000257</c:v>
                </c:pt>
                <c:pt idx="529">
                  <c:v>33.10180000000026</c:v>
                </c:pt>
                <c:pt idx="530">
                  <c:v>33.101900000000263</c:v>
                </c:pt>
                <c:pt idx="531">
                  <c:v>33.102000000000267</c:v>
                </c:pt>
                <c:pt idx="532">
                  <c:v>33.10210000000027</c:v>
                </c:pt>
                <c:pt idx="533">
                  <c:v>33.102200000000273</c:v>
                </c:pt>
                <c:pt idx="534">
                  <c:v>33.102300000000277</c:v>
                </c:pt>
                <c:pt idx="535">
                  <c:v>33.10240000000028</c:v>
                </c:pt>
                <c:pt idx="536">
                  <c:v>33.102500000000283</c:v>
                </c:pt>
                <c:pt idx="537">
                  <c:v>33.102600000000287</c:v>
                </c:pt>
                <c:pt idx="538">
                  <c:v>33.10270000000029</c:v>
                </c:pt>
                <c:pt idx="539">
                  <c:v>33.102800000000293</c:v>
                </c:pt>
                <c:pt idx="540">
                  <c:v>33.102900000000297</c:v>
                </c:pt>
                <c:pt idx="541">
                  <c:v>33.1030000000003</c:v>
                </c:pt>
                <c:pt idx="542">
                  <c:v>33.103100000000303</c:v>
                </c:pt>
                <c:pt idx="543">
                  <c:v>33.103200000000307</c:v>
                </c:pt>
                <c:pt idx="544">
                  <c:v>33.10330000000031</c:v>
                </c:pt>
                <c:pt idx="545">
                  <c:v>33.103400000000313</c:v>
                </c:pt>
                <c:pt idx="546">
                  <c:v>33.103500000000317</c:v>
                </c:pt>
                <c:pt idx="547">
                  <c:v>33.10360000000032</c:v>
                </c:pt>
                <c:pt idx="548">
                  <c:v>33.103700000000323</c:v>
                </c:pt>
                <c:pt idx="549">
                  <c:v>33.103800000000327</c:v>
                </c:pt>
                <c:pt idx="550">
                  <c:v>33.10390000000033</c:v>
                </c:pt>
                <c:pt idx="551">
                  <c:v>33.104000000000333</c:v>
                </c:pt>
                <c:pt idx="552">
                  <c:v>33.104100000000336</c:v>
                </c:pt>
                <c:pt idx="553">
                  <c:v>33.10420000000034</c:v>
                </c:pt>
                <c:pt idx="554">
                  <c:v>33.104300000000343</c:v>
                </c:pt>
                <c:pt idx="555">
                  <c:v>33.104400000000346</c:v>
                </c:pt>
                <c:pt idx="556">
                  <c:v>33.10450000000035</c:v>
                </c:pt>
                <c:pt idx="557">
                  <c:v>33.104600000000353</c:v>
                </c:pt>
                <c:pt idx="558">
                  <c:v>33.104700000000356</c:v>
                </c:pt>
                <c:pt idx="559">
                  <c:v>33.10480000000036</c:v>
                </c:pt>
                <c:pt idx="560">
                  <c:v>33.104900000000363</c:v>
                </c:pt>
                <c:pt idx="561">
                  <c:v>33.105000000000366</c:v>
                </c:pt>
                <c:pt idx="562">
                  <c:v>33.10510000000037</c:v>
                </c:pt>
                <c:pt idx="563">
                  <c:v>33.105200000000373</c:v>
                </c:pt>
                <c:pt idx="564">
                  <c:v>33.105300000000376</c:v>
                </c:pt>
                <c:pt idx="565">
                  <c:v>33.10540000000038</c:v>
                </c:pt>
                <c:pt idx="566">
                  <c:v>33.105500000000383</c:v>
                </c:pt>
                <c:pt idx="567">
                  <c:v>33.105600000000386</c:v>
                </c:pt>
                <c:pt idx="568">
                  <c:v>33.10570000000039</c:v>
                </c:pt>
                <c:pt idx="569">
                  <c:v>33.105800000000393</c:v>
                </c:pt>
                <c:pt idx="570">
                  <c:v>33.105900000000396</c:v>
                </c:pt>
                <c:pt idx="571">
                  <c:v>33.1060000000004</c:v>
                </c:pt>
                <c:pt idx="572">
                  <c:v>33.106100000000403</c:v>
                </c:pt>
                <c:pt idx="573">
                  <c:v>33.106200000000406</c:v>
                </c:pt>
                <c:pt idx="574">
                  <c:v>33.10630000000041</c:v>
                </c:pt>
                <c:pt idx="575">
                  <c:v>33.106400000000413</c:v>
                </c:pt>
                <c:pt idx="576">
                  <c:v>33.106500000000416</c:v>
                </c:pt>
                <c:pt idx="577">
                  <c:v>33.106600000000419</c:v>
                </c:pt>
                <c:pt idx="578">
                  <c:v>33.106700000000423</c:v>
                </c:pt>
                <c:pt idx="579">
                  <c:v>33.106800000000426</c:v>
                </c:pt>
                <c:pt idx="580">
                  <c:v>33.106900000000429</c:v>
                </c:pt>
                <c:pt idx="581">
                  <c:v>33.107000000000433</c:v>
                </c:pt>
                <c:pt idx="582">
                  <c:v>33.107100000000436</c:v>
                </c:pt>
                <c:pt idx="583">
                  <c:v>33.107200000000439</c:v>
                </c:pt>
                <c:pt idx="584">
                  <c:v>33.107300000000443</c:v>
                </c:pt>
                <c:pt idx="585">
                  <c:v>33.107400000000446</c:v>
                </c:pt>
                <c:pt idx="586">
                  <c:v>33.107500000000449</c:v>
                </c:pt>
                <c:pt idx="587">
                  <c:v>33.107600000000453</c:v>
                </c:pt>
                <c:pt idx="588">
                  <c:v>33.107700000000456</c:v>
                </c:pt>
                <c:pt idx="589">
                  <c:v>33.107800000000459</c:v>
                </c:pt>
                <c:pt idx="590">
                  <c:v>33.107900000000463</c:v>
                </c:pt>
                <c:pt idx="591">
                  <c:v>33.108000000000466</c:v>
                </c:pt>
                <c:pt idx="592">
                  <c:v>33.108100000000469</c:v>
                </c:pt>
                <c:pt idx="593">
                  <c:v>33.108200000000473</c:v>
                </c:pt>
                <c:pt idx="594">
                  <c:v>33.108300000000476</c:v>
                </c:pt>
                <c:pt idx="595">
                  <c:v>33.108400000000479</c:v>
                </c:pt>
                <c:pt idx="596">
                  <c:v>33.108500000000483</c:v>
                </c:pt>
                <c:pt idx="597">
                  <c:v>33.108600000000486</c:v>
                </c:pt>
                <c:pt idx="598">
                  <c:v>33.108700000000489</c:v>
                </c:pt>
                <c:pt idx="599">
                  <c:v>33.108800000000493</c:v>
                </c:pt>
                <c:pt idx="600">
                  <c:v>33.108900000000496</c:v>
                </c:pt>
                <c:pt idx="601">
                  <c:v>33.109000000000499</c:v>
                </c:pt>
                <c:pt idx="602">
                  <c:v>33.109100000000502</c:v>
                </c:pt>
                <c:pt idx="603">
                  <c:v>33.109200000000506</c:v>
                </c:pt>
                <c:pt idx="604">
                  <c:v>33.109300000000509</c:v>
                </c:pt>
                <c:pt idx="605">
                  <c:v>33.109400000000512</c:v>
                </c:pt>
                <c:pt idx="606">
                  <c:v>33.109500000000516</c:v>
                </c:pt>
                <c:pt idx="607">
                  <c:v>33.109600000000519</c:v>
                </c:pt>
                <c:pt idx="608">
                  <c:v>33.109700000000522</c:v>
                </c:pt>
                <c:pt idx="609">
                  <c:v>33.109800000000526</c:v>
                </c:pt>
                <c:pt idx="610">
                  <c:v>33.109900000000529</c:v>
                </c:pt>
                <c:pt idx="611">
                  <c:v>33.110000000000532</c:v>
                </c:pt>
                <c:pt idx="612">
                  <c:v>33.110100000000536</c:v>
                </c:pt>
                <c:pt idx="613">
                  <c:v>33.110200000000539</c:v>
                </c:pt>
                <c:pt idx="614">
                  <c:v>33.110300000000542</c:v>
                </c:pt>
                <c:pt idx="615">
                  <c:v>33.110400000000546</c:v>
                </c:pt>
                <c:pt idx="616">
                  <c:v>33.110500000000549</c:v>
                </c:pt>
                <c:pt idx="617">
                  <c:v>33.110600000000552</c:v>
                </c:pt>
                <c:pt idx="618">
                  <c:v>33.110700000000556</c:v>
                </c:pt>
                <c:pt idx="619">
                  <c:v>33.110800000000559</c:v>
                </c:pt>
                <c:pt idx="620">
                  <c:v>33.110900000000562</c:v>
                </c:pt>
                <c:pt idx="621">
                  <c:v>33.111000000000566</c:v>
                </c:pt>
                <c:pt idx="622">
                  <c:v>33.111100000000569</c:v>
                </c:pt>
                <c:pt idx="623">
                  <c:v>33.111200000000572</c:v>
                </c:pt>
                <c:pt idx="624">
                  <c:v>33.111300000000575</c:v>
                </c:pt>
                <c:pt idx="625">
                  <c:v>33.111400000000579</c:v>
                </c:pt>
                <c:pt idx="626">
                  <c:v>33.111500000000582</c:v>
                </c:pt>
                <c:pt idx="627">
                  <c:v>33.111600000000585</c:v>
                </c:pt>
                <c:pt idx="628">
                  <c:v>33.111700000000589</c:v>
                </c:pt>
                <c:pt idx="629">
                  <c:v>33.111800000000592</c:v>
                </c:pt>
                <c:pt idx="630">
                  <c:v>33.111900000000595</c:v>
                </c:pt>
                <c:pt idx="631">
                  <c:v>33.112000000000599</c:v>
                </c:pt>
                <c:pt idx="632">
                  <c:v>33.112100000000602</c:v>
                </c:pt>
                <c:pt idx="633">
                  <c:v>33.112200000000605</c:v>
                </c:pt>
                <c:pt idx="634">
                  <c:v>33.112300000000609</c:v>
                </c:pt>
                <c:pt idx="635">
                  <c:v>33.112400000000612</c:v>
                </c:pt>
                <c:pt idx="636">
                  <c:v>33.112500000000615</c:v>
                </c:pt>
                <c:pt idx="637">
                  <c:v>33.112600000000619</c:v>
                </c:pt>
                <c:pt idx="638">
                  <c:v>33.112700000000622</c:v>
                </c:pt>
                <c:pt idx="639">
                  <c:v>33.112800000000625</c:v>
                </c:pt>
                <c:pt idx="640">
                  <c:v>33.112900000000629</c:v>
                </c:pt>
                <c:pt idx="641">
                  <c:v>33.113000000000632</c:v>
                </c:pt>
                <c:pt idx="642">
                  <c:v>33.113100000000635</c:v>
                </c:pt>
                <c:pt idx="643">
                  <c:v>33.113200000000639</c:v>
                </c:pt>
                <c:pt idx="644">
                  <c:v>33.113300000000642</c:v>
                </c:pt>
                <c:pt idx="645">
                  <c:v>33.113400000000645</c:v>
                </c:pt>
                <c:pt idx="646">
                  <c:v>33.113500000000649</c:v>
                </c:pt>
                <c:pt idx="647">
                  <c:v>33.113600000000652</c:v>
                </c:pt>
                <c:pt idx="648">
                  <c:v>33.113700000000655</c:v>
                </c:pt>
                <c:pt idx="649">
                  <c:v>33.113800000000658</c:v>
                </c:pt>
                <c:pt idx="650">
                  <c:v>33.113900000000662</c:v>
                </c:pt>
                <c:pt idx="651">
                  <c:v>33.114000000000665</c:v>
                </c:pt>
                <c:pt idx="652">
                  <c:v>33.114100000000668</c:v>
                </c:pt>
                <c:pt idx="653">
                  <c:v>33.114200000000672</c:v>
                </c:pt>
                <c:pt idx="654">
                  <c:v>33.114300000000675</c:v>
                </c:pt>
                <c:pt idx="655">
                  <c:v>33.114400000000678</c:v>
                </c:pt>
                <c:pt idx="656">
                  <c:v>33.114500000000682</c:v>
                </c:pt>
                <c:pt idx="657">
                  <c:v>33.114600000000685</c:v>
                </c:pt>
                <c:pt idx="658">
                  <c:v>33.114700000000688</c:v>
                </c:pt>
                <c:pt idx="659">
                  <c:v>33.114800000000692</c:v>
                </c:pt>
                <c:pt idx="660">
                  <c:v>33.114900000000695</c:v>
                </c:pt>
                <c:pt idx="661">
                  <c:v>33.115000000000698</c:v>
                </c:pt>
                <c:pt idx="662">
                  <c:v>33.115100000000702</c:v>
                </c:pt>
                <c:pt idx="663">
                  <c:v>33.115200000000705</c:v>
                </c:pt>
                <c:pt idx="664">
                  <c:v>33.115300000000708</c:v>
                </c:pt>
                <c:pt idx="665">
                  <c:v>33.115400000000712</c:v>
                </c:pt>
                <c:pt idx="666">
                  <c:v>33.115500000000715</c:v>
                </c:pt>
                <c:pt idx="667">
                  <c:v>33.115600000000718</c:v>
                </c:pt>
                <c:pt idx="668">
                  <c:v>33.115700000000722</c:v>
                </c:pt>
                <c:pt idx="669">
                  <c:v>33.115800000000725</c:v>
                </c:pt>
                <c:pt idx="670">
                  <c:v>33.115900000000728</c:v>
                </c:pt>
                <c:pt idx="671">
                  <c:v>33.116000000000732</c:v>
                </c:pt>
                <c:pt idx="672">
                  <c:v>33.116100000000735</c:v>
                </c:pt>
                <c:pt idx="673">
                  <c:v>33.116200000000738</c:v>
                </c:pt>
                <c:pt idx="674">
                  <c:v>33.116300000000741</c:v>
                </c:pt>
                <c:pt idx="675">
                  <c:v>33.116400000000745</c:v>
                </c:pt>
                <c:pt idx="676">
                  <c:v>33.116500000000748</c:v>
                </c:pt>
                <c:pt idx="677">
                  <c:v>33.116600000000751</c:v>
                </c:pt>
                <c:pt idx="678">
                  <c:v>33.116700000000755</c:v>
                </c:pt>
                <c:pt idx="679">
                  <c:v>33.116800000000758</c:v>
                </c:pt>
                <c:pt idx="680">
                  <c:v>33.116900000000761</c:v>
                </c:pt>
                <c:pt idx="681">
                  <c:v>33.117000000000765</c:v>
                </c:pt>
                <c:pt idx="682">
                  <c:v>33.117100000000768</c:v>
                </c:pt>
                <c:pt idx="683">
                  <c:v>33.117200000000771</c:v>
                </c:pt>
                <c:pt idx="684">
                  <c:v>33.117300000000775</c:v>
                </c:pt>
                <c:pt idx="685">
                  <c:v>33.117400000000778</c:v>
                </c:pt>
                <c:pt idx="686">
                  <c:v>33.117500000000781</c:v>
                </c:pt>
                <c:pt idx="687">
                  <c:v>33.117600000000785</c:v>
                </c:pt>
                <c:pt idx="688">
                  <c:v>33.117700000000788</c:v>
                </c:pt>
                <c:pt idx="689">
                  <c:v>33.117800000000791</c:v>
                </c:pt>
                <c:pt idx="690">
                  <c:v>33.117900000000795</c:v>
                </c:pt>
                <c:pt idx="691">
                  <c:v>33.118000000000798</c:v>
                </c:pt>
                <c:pt idx="692">
                  <c:v>33.118100000000801</c:v>
                </c:pt>
                <c:pt idx="693">
                  <c:v>33.118200000000805</c:v>
                </c:pt>
                <c:pt idx="694">
                  <c:v>33.118300000000808</c:v>
                </c:pt>
                <c:pt idx="695">
                  <c:v>33.118400000000811</c:v>
                </c:pt>
                <c:pt idx="696">
                  <c:v>33.118500000000815</c:v>
                </c:pt>
                <c:pt idx="697">
                  <c:v>33.118600000000818</c:v>
                </c:pt>
                <c:pt idx="698">
                  <c:v>33.118700000000821</c:v>
                </c:pt>
                <c:pt idx="699">
                  <c:v>33.118800000000824</c:v>
                </c:pt>
                <c:pt idx="700">
                  <c:v>33.118900000000828</c:v>
                </c:pt>
                <c:pt idx="701">
                  <c:v>33.119000000000831</c:v>
                </c:pt>
                <c:pt idx="702">
                  <c:v>33.119100000000834</c:v>
                </c:pt>
                <c:pt idx="703">
                  <c:v>33.119200000000838</c:v>
                </c:pt>
                <c:pt idx="704">
                  <c:v>33.119300000000841</c:v>
                </c:pt>
                <c:pt idx="705">
                  <c:v>33.119400000000844</c:v>
                </c:pt>
                <c:pt idx="706">
                  <c:v>33.119500000000848</c:v>
                </c:pt>
                <c:pt idx="707">
                  <c:v>33.119600000000851</c:v>
                </c:pt>
                <c:pt idx="708">
                  <c:v>33.119700000000854</c:v>
                </c:pt>
                <c:pt idx="709">
                  <c:v>33.119800000000858</c:v>
                </c:pt>
                <c:pt idx="710">
                  <c:v>33.119900000000861</c:v>
                </c:pt>
                <c:pt idx="711">
                  <c:v>33.120000000000864</c:v>
                </c:pt>
                <c:pt idx="712">
                  <c:v>33.120100000000868</c:v>
                </c:pt>
                <c:pt idx="713">
                  <c:v>33.120200000000871</c:v>
                </c:pt>
                <c:pt idx="714">
                  <c:v>33.120300000000874</c:v>
                </c:pt>
                <c:pt idx="715">
                  <c:v>33.120400000000878</c:v>
                </c:pt>
                <c:pt idx="716">
                  <c:v>33.120500000000881</c:v>
                </c:pt>
                <c:pt idx="717">
                  <c:v>33.120600000000884</c:v>
                </c:pt>
                <c:pt idx="718">
                  <c:v>33.120700000000888</c:v>
                </c:pt>
                <c:pt idx="719">
                  <c:v>33.120800000000891</c:v>
                </c:pt>
                <c:pt idx="720">
                  <c:v>33.120900000000894</c:v>
                </c:pt>
                <c:pt idx="721">
                  <c:v>33.121000000000898</c:v>
                </c:pt>
                <c:pt idx="722">
                  <c:v>33.121100000000901</c:v>
                </c:pt>
                <c:pt idx="723">
                  <c:v>33.121200000000904</c:v>
                </c:pt>
                <c:pt idx="724">
                  <c:v>33.121300000000907</c:v>
                </c:pt>
                <c:pt idx="725">
                  <c:v>33.121400000000911</c:v>
                </c:pt>
                <c:pt idx="726">
                  <c:v>33.121500000000914</c:v>
                </c:pt>
                <c:pt idx="727">
                  <c:v>33.121600000000917</c:v>
                </c:pt>
                <c:pt idx="728">
                  <c:v>33.121700000000921</c:v>
                </c:pt>
                <c:pt idx="729">
                  <c:v>33.121800000000924</c:v>
                </c:pt>
                <c:pt idx="730">
                  <c:v>33.121900000000927</c:v>
                </c:pt>
                <c:pt idx="731">
                  <c:v>33.122000000000931</c:v>
                </c:pt>
                <c:pt idx="732">
                  <c:v>33.122100000000934</c:v>
                </c:pt>
                <c:pt idx="733">
                  <c:v>33.122200000000937</c:v>
                </c:pt>
                <c:pt idx="734">
                  <c:v>33.122300000000941</c:v>
                </c:pt>
                <c:pt idx="735">
                  <c:v>33.122400000000944</c:v>
                </c:pt>
                <c:pt idx="736">
                  <c:v>33.122500000000947</c:v>
                </c:pt>
                <c:pt idx="737">
                  <c:v>33.122600000000951</c:v>
                </c:pt>
                <c:pt idx="738">
                  <c:v>33.122700000000954</c:v>
                </c:pt>
                <c:pt idx="739">
                  <c:v>33.122800000000957</c:v>
                </c:pt>
                <c:pt idx="740">
                  <c:v>33.122900000000961</c:v>
                </c:pt>
                <c:pt idx="741">
                  <c:v>33.123000000000964</c:v>
                </c:pt>
                <c:pt idx="742">
                  <c:v>33.123100000000967</c:v>
                </c:pt>
                <c:pt idx="743">
                  <c:v>33.123200000000971</c:v>
                </c:pt>
                <c:pt idx="744">
                  <c:v>33.123300000000974</c:v>
                </c:pt>
                <c:pt idx="745">
                  <c:v>33.123400000000977</c:v>
                </c:pt>
                <c:pt idx="746">
                  <c:v>33.12350000000098</c:v>
                </c:pt>
                <c:pt idx="747">
                  <c:v>33.123600000000984</c:v>
                </c:pt>
                <c:pt idx="748">
                  <c:v>33.123700000000987</c:v>
                </c:pt>
                <c:pt idx="749">
                  <c:v>33.12380000000099</c:v>
                </c:pt>
                <c:pt idx="750">
                  <c:v>33.123900000000994</c:v>
                </c:pt>
                <c:pt idx="751">
                  <c:v>33.124000000000997</c:v>
                </c:pt>
                <c:pt idx="752">
                  <c:v>33.124100000001</c:v>
                </c:pt>
                <c:pt idx="753">
                  <c:v>33.124200000001004</c:v>
                </c:pt>
                <c:pt idx="754">
                  <c:v>33.124300000001007</c:v>
                </c:pt>
                <c:pt idx="755">
                  <c:v>33.12440000000101</c:v>
                </c:pt>
                <c:pt idx="756">
                  <c:v>33.124500000001014</c:v>
                </c:pt>
                <c:pt idx="757">
                  <c:v>33.124600000001017</c:v>
                </c:pt>
                <c:pt idx="758">
                  <c:v>33.12470000000102</c:v>
                </c:pt>
                <c:pt idx="759">
                  <c:v>33.124800000001024</c:v>
                </c:pt>
                <c:pt idx="760">
                  <c:v>33.124900000001027</c:v>
                </c:pt>
                <c:pt idx="761">
                  <c:v>33.12500000000103</c:v>
                </c:pt>
                <c:pt idx="762">
                  <c:v>33.125100000001034</c:v>
                </c:pt>
                <c:pt idx="763">
                  <c:v>33.125200000001037</c:v>
                </c:pt>
                <c:pt idx="764">
                  <c:v>33.12530000000104</c:v>
                </c:pt>
                <c:pt idx="765">
                  <c:v>33.125400000001044</c:v>
                </c:pt>
                <c:pt idx="766">
                  <c:v>33.125500000001047</c:v>
                </c:pt>
                <c:pt idx="767">
                  <c:v>33.12560000000105</c:v>
                </c:pt>
                <c:pt idx="768">
                  <c:v>33.125700000001054</c:v>
                </c:pt>
                <c:pt idx="769">
                  <c:v>33.125800000001057</c:v>
                </c:pt>
                <c:pt idx="770">
                  <c:v>33.12590000000106</c:v>
                </c:pt>
                <c:pt idx="771">
                  <c:v>33.126000000001063</c:v>
                </c:pt>
                <c:pt idx="772">
                  <c:v>33.126100000001067</c:v>
                </c:pt>
                <c:pt idx="773">
                  <c:v>33.12620000000107</c:v>
                </c:pt>
                <c:pt idx="774">
                  <c:v>33.126300000001073</c:v>
                </c:pt>
                <c:pt idx="775">
                  <c:v>33.126400000001077</c:v>
                </c:pt>
                <c:pt idx="776">
                  <c:v>33.12650000000108</c:v>
                </c:pt>
                <c:pt idx="777">
                  <c:v>33.126600000001083</c:v>
                </c:pt>
                <c:pt idx="778">
                  <c:v>33.126700000001087</c:v>
                </c:pt>
                <c:pt idx="779">
                  <c:v>33.12680000000109</c:v>
                </c:pt>
                <c:pt idx="780">
                  <c:v>33.126900000001093</c:v>
                </c:pt>
                <c:pt idx="781">
                  <c:v>33.127000000001097</c:v>
                </c:pt>
                <c:pt idx="782">
                  <c:v>33.1271000000011</c:v>
                </c:pt>
                <c:pt idx="783">
                  <c:v>33.127200000001103</c:v>
                </c:pt>
                <c:pt idx="784">
                  <c:v>33.127300000001107</c:v>
                </c:pt>
                <c:pt idx="785">
                  <c:v>33.12740000000111</c:v>
                </c:pt>
                <c:pt idx="786">
                  <c:v>33.127500000001113</c:v>
                </c:pt>
                <c:pt idx="787">
                  <c:v>33.127600000001117</c:v>
                </c:pt>
                <c:pt idx="788">
                  <c:v>33.12770000000112</c:v>
                </c:pt>
                <c:pt idx="789">
                  <c:v>33.127800000001123</c:v>
                </c:pt>
                <c:pt idx="790">
                  <c:v>33.127900000001127</c:v>
                </c:pt>
                <c:pt idx="791">
                  <c:v>33.12800000000113</c:v>
                </c:pt>
                <c:pt idx="792">
                  <c:v>33.128100000001133</c:v>
                </c:pt>
                <c:pt idx="793">
                  <c:v>33.128200000001137</c:v>
                </c:pt>
                <c:pt idx="794">
                  <c:v>33.12830000000114</c:v>
                </c:pt>
                <c:pt idx="795">
                  <c:v>33.128400000001143</c:v>
                </c:pt>
                <c:pt idx="796">
                  <c:v>33.128500000001146</c:v>
                </c:pt>
                <c:pt idx="797">
                  <c:v>33.12860000000115</c:v>
                </c:pt>
                <c:pt idx="798">
                  <c:v>33.128700000001153</c:v>
                </c:pt>
                <c:pt idx="799">
                  <c:v>33.128800000001156</c:v>
                </c:pt>
                <c:pt idx="800">
                  <c:v>33.12890000000116</c:v>
                </c:pt>
                <c:pt idx="801">
                  <c:v>33.129000000001163</c:v>
                </c:pt>
                <c:pt idx="802">
                  <c:v>33.129100000001166</c:v>
                </c:pt>
                <c:pt idx="803">
                  <c:v>33.12920000000117</c:v>
                </c:pt>
                <c:pt idx="804">
                  <c:v>33.129300000001173</c:v>
                </c:pt>
                <c:pt idx="805">
                  <c:v>33.129400000001176</c:v>
                </c:pt>
                <c:pt idx="806">
                  <c:v>33.12950000000118</c:v>
                </c:pt>
                <c:pt idx="807">
                  <c:v>33.129600000001183</c:v>
                </c:pt>
                <c:pt idx="808">
                  <c:v>33.129700000001186</c:v>
                </c:pt>
                <c:pt idx="809">
                  <c:v>33.12980000000119</c:v>
                </c:pt>
                <c:pt idx="810">
                  <c:v>33.129900000001193</c:v>
                </c:pt>
                <c:pt idx="811">
                  <c:v>33.130000000001196</c:v>
                </c:pt>
                <c:pt idx="812">
                  <c:v>33.1301000000012</c:v>
                </c:pt>
                <c:pt idx="813">
                  <c:v>33.130200000001203</c:v>
                </c:pt>
                <c:pt idx="814">
                  <c:v>33.130300000001206</c:v>
                </c:pt>
                <c:pt idx="815">
                  <c:v>33.13040000000121</c:v>
                </c:pt>
                <c:pt idx="816">
                  <c:v>33.130500000001213</c:v>
                </c:pt>
                <c:pt idx="817">
                  <c:v>33.130600000001216</c:v>
                </c:pt>
                <c:pt idx="818">
                  <c:v>33.13070000000122</c:v>
                </c:pt>
                <c:pt idx="819">
                  <c:v>33.130800000001223</c:v>
                </c:pt>
                <c:pt idx="820">
                  <c:v>33.130900000001226</c:v>
                </c:pt>
                <c:pt idx="821">
                  <c:v>33.131000000001229</c:v>
                </c:pt>
                <c:pt idx="822">
                  <c:v>33.131100000001233</c:v>
                </c:pt>
                <c:pt idx="823">
                  <c:v>33.131200000001236</c:v>
                </c:pt>
                <c:pt idx="824">
                  <c:v>33.131300000001239</c:v>
                </c:pt>
                <c:pt idx="825">
                  <c:v>33.131400000001243</c:v>
                </c:pt>
                <c:pt idx="826">
                  <c:v>33.131500000001246</c:v>
                </c:pt>
                <c:pt idx="827">
                  <c:v>33.131600000001249</c:v>
                </c:pt>
                <c:pt idx="828">
                  <c:v>33.131700000001253</c:v>
                </c:pt>
                <c:pt idx="829">
                  <c:v>33.131800000001256</c:v>
                </c:pt>
                <c:pt idx="830">
                  <c:v>33.131900000001259</c:v>
                </c:pt>
                <c:pt idx="831">
                  <c:v>33.132000000001263</c:v>
                </c:pt>
                <c:pt idx="832">
                  <c:v>33.132100000001266</c:v>
                </c:pt>
                <c:pt idx="833">
                  <c:v>33.132200000001269</c:v>
                </c:pt>
                <c:pt idx="834">
                  <c:v>33.132300000001273</c:v>
                </c:pt>
                <c:pt idx="835">
                  <c:v>33.132400000001276</c:v>
                </c:pt>
                <c:pt idx="836">
                  <c:v>33.132500000001279</c:v>
                </c:pt>
                <c:pt idx="837">
                  <c:v>33.132600000001283</c:v>
                </c:pt>
                <c:pt idx="838">
                  <c:v>33.132700000001286</c:v>
                </c:pt>
                <c:pt idx="839">
                  <c:v>33.132800000001289</c:v>
                </c:pt>
                <c:pt idx="840">
                  <c:v>33.132900000001293</c:v>
                </c:pt>
                <c:pt idx="841">
                  <c:v>33.133000000001296</c:v>
                </c:pt>
                <c:pt idx="842">
                  <c:v>33.133100000001299</c:v>
                </c:pt>
                <c:pt idx="843">
                  <c:v>33.133200000001302</c:v>
                </c:pt>
                <c:pt idx="844">
                  <c:v>33.133300000001306</c:v>
                </c:pt>
                <c:pt idx="845">
                  <c:v>33.133400000001309</c:v>
                </c:pt>
                <c:pt idx="846">
                  <c:v>33.133500000001312</c:v>
                </c:pt>
                <c:pt idx="847">
                  <c:v>33.133600000001316</c:v>
                </c:pt>
                <c:pt idx="848">
                  <c:v>33.133700000001319</c:v>
                </c:pt>
                <c:pt idx="849">
                  <c:v>33.133800000001322</c:v>
                </c:pt>
                <c:pt idx="850">
                  <c:v>33.133900000001326</c:v>
                </c:pt>
                <c:pt idx="851">
                  <c:v>33.134000000001329</c:v>
                </c:pt>
                <c:pt idx="852">
                  <c:v>33.134100000001332</c:v>
                </c:pt>
                <c:pt idx="853">
                  <c:v>33.134200000001336</c:v>
                </c:pt>
                <c:pt idx="854">
                  <c:v>33.134300000001339</c:v>
                </c:pt>
                <c:pt idx="855">
                  <c:v>33.134400000001342</c:v>
                </c:pt>
                <c:pt idx="856">
                  <c:v>33.134500000001346</c:v>
                </c:pt>
                <c:pt idx="857">
                  <c:v>33.134600000001349</c:v>
                </c:pt>
                <c:pt idx="858">
                  <c:v>33.134700000001352</c:v>
                </c:pt>
                <c:pt idx="859">
                  <c:v>33.134800000001356</c:v>
                </c:pt>
                <c:pt idx="860">
                  <c:v>33.134900000001359</c:v>
                </c:pt>
                <c:pt idx="861">
                  <c:v>33.135000000001362</c:v>
                </c:pt>
                <c:pt idx="862">
                  <c:v>33.135100000001366</c:v>
                </c:pt>
                <c:pt idx="863">
                  <c:v>33.135200000001369</c:v>
                </c:pt>
                <c:pt idx="864">
                  <c:v>33.135300000001372</c:v>
                </c:pt>
                <c:pt idx="865">
                  <c:v>33.135400000001376</c:v>
                </c:pt>
                <c:pt idx="866">
                  <c:v>33.135500000001379</c:v>
                </c:pt>
                <c:pt idx="867">
                  <c:v>33.135600000001382</c:v>
                </c:pt>
                <c:pt idx="868">
                  <c:v>33.135700000001385</c:v>
                </c:pt>
                <c:pt idx="869">
                  <c:v>33.135800000001389</c:v>
                </c:pt>
                <c:pt idx="870">
                  <c:v>33.135900000001392</c:v>
                </c:pt>
                <c:pt idx="871">
                  <c:v>33.136000000001395</c:v>
                </c:pt>
                <c:pt idx="872">
                  <c:v>33.136100000001399</c:v>
                </c:pt>
                <c:pt idx="873">
                  <c:v>33.136200000001402</c:v>
                </c:pt>
                <c:pt idx="874">
                  <c:v>33.136300000001405</c:v>
                </c:pt>
                <c:pt idx="875">
                  <c:v>33.136400000001409</c:v>
                </c:pt>
                <c:pt idx="876">
                  <c:v>33.136500000001412</c:v>
                </c:pt>
                <c:pt idx="877">
                  <c:v>33.136600000001415</c:v>
                </c:pt>
                <c:pt idx="878">
                  <c:v>33.136700000001419</c:v>
                </c:pt>
                <c:pt idx="879">
                  <c:v>33.136800000001422</c:v>
                </c:pt>
                <c:pt idx="880">
                  <c:v>33.136900000001425</c:v>
                </c:pt>
                <c:pt idx="881">
                  <c:v>33.137000000001429</c:v>
                </c:pt>
                <c:pt idx="882">
                  <c:v>33.137100000001432</c:v>
                </c:pt>
                <c:pt idx="883">
                  <c:v>33.137200000001435</c:v>
                </c:pt>
                <c:pt idx="884">
                  <c:v>33.137300000001439</c:v>
                </c:pt>
                <c:pt idx="885">
                  <c:v>33.137400000001442</c:v>
                </c:pt>
                <c:pt idx="886">
                  <c:v>33.137500000001445</c:v>
                </c:pt>
                <c:pt idx="887">
                  <c:v>33.137600000001449</c:v>
                </c:pt>
                <c:pt idx="888">
                  <c:v>33.137700000001452</c:v>
                </c:pt>
                <c:pt idx="889">
                  <c:v>33.137800000001455</c:v>
                </c:pt>
                <c:pt idx="890">
                  <c:v>33.137900000001459</c:v>
                </c:pt>
                <c:pt idx="891">
                  <c:v>33.138000000001462</c:v>
                </c:pt>
                <c:pt idx="892">
                  <c:v>33.138100000001465</c:v>
                </c:pt>
                <c:pt idx="893">
                  <c:v>33.138200000001468</c:v>
                </c:pt>
                <c:pt idx="894">
                  <c:v>33.138300000001472</c:v>
                </c:pt>
                <c:pt idx="895">
                  <c:v>33.138400000001475</c:v>
                </c:pt>
                <c:pt idx="896">
                  <c:v>33.138500000001478</c:v>
                </c:pt>
                <c:pt idx="897">
                  <c:v>33.138600000001482</c:v>
                </c:pt>
                <c:pt idx="898">
                  <c:v>33.138700000001485</c:v>
                </c:pt>
                <c:pt idx="899">
                  <c:v>33.138800000001488</c:v>
                </c:pt>
                <c:pt idx="900">
                  <c:v>33.138900000001492</c:v>
                </c:pt>
                <c:pt idx="901">
                  <c:v>33.139000000001495</c:v>
                </c:pt>
                <c:pt idx="902">
                  <c:v>33.139100000001498</c:v>
                </c:pt>
                <c:pt idx="903">
                  <c:v>33.139200000001502</c:v>
                </c:pt>
                <c:pt idx="904">
                  <c:v>33.139300000001505</c:v>
                </c:pt>
                <c:pt idx="905">
                  <c:v>33.139400000001508</c:v>
                </c:pt>
                <c:pt idx="906">
                  <c:v>33.139500000001512</c:v>
                </c:pt>
                <c:pt idx="907">
                  <c:v>33.139600000001515</c:v>
                </c:pt>
                <c:pt idx="908">
                  <c:v>33.139700000001518</c:v>
                </c:pt>
                <c:pt idx="909">
                  <c:v>33.139800000001522</c:v>
                </c:pt>
                <c:pt idx="910">
                  <c:v>33.139900000001525</c:v>
                </c:pt>
                <c:pt idx="911">
                  <c:v>33.140000000001528</c:v>
                </c:pt>
                <c:pt idx="912">
                  <c:v>33.140100000001532</c:v>
                </c:pt>
                <c:pt idx="913">
                  <c:v>33.140200000001535</c:v>
                </c:pt>
                <c:pt idx="914">
                  <c:v>33.140300000001538</c:v>
                </c:pt>
                <c:pt idx="915">
                  <c:v>33.140400000001542</c:v>
                </c:pt>
                <c:pt idx="916">
                  <c:v>33.140500000001545</c:v>
                </c:pt>
                <c:pt idx="917">
                  <c:v>33.140600000001548</c:v>
                </c:pt>
                <c:pt idx="918">
                  <c:v>33.140700000001551</c:v>
                </c:pt>
                <c:pt idx="919">
                  <c:v>33.140800000001555</c:v>
                </c:pt>
                <c:pt idx="920">
                  <c:v>33.140900000001558</c:v>
                </c:pt>
                <c:pt idx="921">
                  <c:v>33.141000000001561</c:v>
                </c:pt>
                <c:pt idx="922">
                  <c:v>33.141100000001565</c:v>
                </c:pt>
                <c:pt idx="923">
                  <c:v>33.141200000001568</c:v>
                </c:pt>
                <c:pt idx="924">
                  <c:v>33.141300000001571</c:v>
                </c:pt>
                <c:pt idx="925">
                  <c:v>33.141400000001575</c:v>
                </c:pt>
                <c:pt idx="926">
                  <c:v>33.141500000001578</c:v>
                </c:pt>
                <c:pt idx="927">
                  <c:v>33.141600000001581</c:v>
                </c:pt>
                <c:pt idx="928">
                  <c:v>33.141700000001585</c:v>
                </c:pt>
                <c:pt idx="929">
                  <c:v>33.141800000001588</c:v>
                </c:pt>
                <c:pt idx="930">
                  <c:v>33.141900000001591</c:v>
                </c:pt>
                <c:pt idx="931">
                  <c:v>33.142000000001595</c:v>
                </c:pt>
                <c:pt idx="932">
                  <c:v>33.142100000001598</c:v>
                </c:pt>
                <c:pt idx="933">
                  <c:v>33.142200000001601</c:v>
                </c:pt>
                <c:pt idx="934">
                  <c:v>33.142300000001605</c:v>
                </c:pt>
                <c:pt idx="935">
                  <c:v>33.142400000001608</c:v>
                </c:pt>
                <c:pt idx="936">
                  <c:v>33.142500000001611</c:v>
                </c:pt>
                <c:pt idx="937">
                  <c:v>33.142600000001615</c:v>
                </c:pt>
                <c:pt idx="938">
                  <c:v>33.142700000001618</c:v>
                </c:pt>
                <c:pt idx="939">
                  <c:v>33.142800000001621</c:v>
                </c:pt>
                <c:pt idx="940">
                  <c:v>33.142900000001625</c:v>
                </c:pt>
                <c:pt idx="941">
                  <c:v>33.143000000001628</c:v>
                </c:pt>
                <c:pt idx="942">
                  <c:v>33.143100000001631</c:v>
                </c:pt>
                <c:pt idx="943">
                  <c:v>33.143200000001634</c:v>
                </c:pt>
                <c:pt idx="944">
                  <c:v>33.143300000001638</c:v>
                </c:pt>
                <c:pt idx="945">
                  <c:v>33.143400000001641</c:v>
                </c:pt>
                <c:pt idx="946">
                  <c:v>33.143500000001644</c:v>
                </c:pt>
                <c:pt idx="947">
                  <c:v>33.143600000001648</c:v>
                </c:pt>
                <c:pt idx="948">
                  <c:v>33.143700000001651</c:v>
                </c:pt>
                <c:pt idx="949">
                  <c:v>33.143800000001654</c:v>
                </c:pt>
                <c:pt idx="950">
                  <c:v>33.143900000001658</c:v>
                </c:pt>
                <c:pt idx="951">
                  <c:v>33.144000000001661</c:v>
                </c:pt>
                <c:pt idx="952">
                  <c:v>33.144100000001664</c:v>
                </c:pt>
                <c:pt idx="953">
                  <c:v>33.144200000001668</c:v>
                </c:pt>
                <c:pt idx="954">
                  <c:v>33.144300000001671</c:v>
                </c:pt>
                <c:pt idx="955">
                  <c:v>33.144400000001674</c:v>
                </c:pt>
                <c:pt idx="956">
                  <c:v>33.144500000001678</c:v>
                </c:pt>
                <c:pt idx="957">
                  <c:v>33.144600000001681</c:v>
                </c:pt>
                <c:pt idx="958">
                  <c:v>33.144700000001684</c:v>
                </c:pt>
                <c:pt idx="959">
                  <c:v>33.144800000001688</c:v>
                </c:pt>
                <c:pt idx="960">
                  <c:v>33.144900000001691</c:v>
                </c:pt>
                <c:pt idx="961">
                  <c:v>33.145000000001694</c:v>
                </c:pt>
                <c:pt idx="962">
                  <c:v>33.145100000001698</c:v>
                </c:pt>
                <c:pt idx="963">
                  <c:v>33.145200000001701</c:v>
                </c:pt>
                <c:pt idx="964">
                  <c:v>33.145300000001704</c:v>
                </c:pt>
                <c:pt idx="965">
                  <c:v>33.145400000001707</c:v>
                </c:pt>
                <c:pt idx="966">
                  <c:v>33.145500000001711</c:v>
                </c:pt>
                <c:pt idx="967">
                  <c:v>33.145600000001714</c:v>
                </c:pt>
                <c:pt idx="968">
                  <c:v>33.145700000001717</c:v>
                </c:pt>
                <c:pt idx="969">
                  <c:v>33.145800000001721</c:v>
                </c:pt>
                <c:pt idx="970">
                  <c:v>33.145900000001724</c:v>
                </c:pt>
                <c:pt idx="971">
                  <c:v>33.146000000001727</c:v>
                </c:pt>
                <c:pt idx="972">
                  <c:v>33.146100000001731</c:v>
                </c:pt>
                <c:pt idx="973">
                  <c:v>33.146200000001734</c:v>
                </c:pt>
                <c:pt idx="974">
                  <c:v>33.146300000001737</c:v>
                </c:pt>
                <c:pt idx="975">
                  <c:v>33.146400000001741</c:v>
                </c:pt>
                <c:pt idx="976">
                  <c:v>33.146500000001744</c:v>
                </c:pt>
                <c:pt idx="977">
                  <c:v>33.146600000001747</c:v>
                </c:pt>
                <c:pt idx="978">
                  <c:v>33.146700000001751</c:v>
                </c:pt>
                <c:pt idx="979">
                  <c:v>33.146800000001754</c:v>
                </c:pt>
                <c:pt idx="980">
                  <c:v>33.146900000001757</c:v>
                </c:pt>
                <c:pt idx="981">
                  <c:v>33.147000000001761</c:v>
                </c:pt>
                <c:pt idx="982">
                  <c:v>33.147100000001764</c:v>
                </c:pt>
                <c:pt idx="983">
                  <c:v>33.147200000001767</c:v>
                </c:pt>
                <c:pt idx="984">
                  <c:v>33.147300000001771</c:v>
                </c:pt>
                <c:pt idx="985">
                  <c:v>33.147400000001774</c:v>
                </c:pt>
                <c:pt idx="986">
                  <c:v>33.147500000001777</c:v>
                </c:pt>
                <c:pt idx="987">
                  <c:v>33.147600000001781</c:v>
                </c:pt>
                <c:pt idx="988">
                  <c:v>33.147700000001784</c:v>
                </c:pt>
                <c:pt idx="989">
                  <c:v>33.147800000001787</c:v>
                </c:pt>
                <c:pt idx="990">
                  <c:v>33.14790000000179</c:v>
                </c:pt>
                <c:pt idx="991">
                  <c:v>33.148000000001794</c:v>
                </c:pt>
                <c:pt idx="992">
                  <c:v>33.148100000001797</c:v>
                </c:pt>
                <c:pt idx="993">
                  <c:v>33.1482000000018</c:v>
                </c:pt>
                <c:pt idx="994">
                  <c:v>33.148300000001804</c:v>
                </c:pt>
                <c:pt idx="995">
                  <c:v>33.148400000001807</c:v>
                </c:pt>
                <c:pt idx="996">
                  <c:v>33.14850000000181</c:v>
                </c:pt>
                <c:pt idx="997">
                  <c:v>33.148600000001814</c:v>
                </c:pt>
                <c:pt idx="998">
                  <c:v>33.148700000001817</c:v>
                </c:pt>
                <c:pt idx="999">
                  <c:v>33.14880000000182</c:v>
                </c:pt>
                <c:pt idx="1000">
                  <c:v>33.148900000001824</c:v>
                </c:pt>
              </c:numCache>
            </c:numRef>
          </c:xVal>
          <c:yVal>
            <c:numRef>
              <c:f>Calculs!$K$4:$K$1004</c:f>
              <c:numCache>
                <c:formatCode>0.00</c:formatCode>
                <c:ptCount val="1001"/>
                <c:pt idx="0">
                  <c:v>0</c:v>
                </c:pt>
                <c:pt idx="1">
                  <c:v>7.9588567858292995E-4</c:v>
                </c:pt>
                <c:pt idx="2">
                  <c:v>6.723482670051845E-3</c:v>
                </c:pt>
                <c:pt idx="3">
                  <c:v>2.3479711239899365E-2</c:v>
                </c:pt>
                <c:pt idx="4">
                  <c:v>5.2995906566015188E-2</c:v>
                </c:pt>
                <c:pt idx="5">
                  <c:v>9.4820262845367348E-2</c:v>
                </c:pt>
                <c:pt idx="6">
                  <c:v>0.14863784731109492</c:v>
                </c:pt>
                <c:pt idx="7">
                  <c:v>0.21440886054895564</c:v>
                </c:pt>
                <c:pt idx="8">
                  <c:v>0.29223128024106937</c:v>
                </c:pt>
                <c:pt idx="9">
                  <c:v>0.3822031479999124</c:v>
                </c:pt>
                <c:pt idx="10">
                  <c:v>0.48442256793887617</c:v>
                </c:pt>
                <c:pt idx="11">
                  <c:v>0.59897339643303338</c:v>
                </c:pt>
                <c:pt idx="12">
                  <c:v>0.72591089482237248</c:v>
                </c:pt>
                <c:pt idx="13">
                  <c:v>0.86527598194740496</c:v>
                </c:pt>
                <c:pt idx="14">
                  <c:v>1.0171095238995609</c:v>
                </c:pt>
                <c:pt idx="15">
                  <c:v>1.1814523328906639</c:v>
                </c:pt>
                <c:pt idx="16">
                  <c:v>1.3583451661181094</c:v>
                </c:pt>
                <c:pt idx="17">
                  <c:v>1.5478287246258078</c:v>
                </c:pt>
                <c:pt idx="18">
                  <c:v>1.7499436521609577</c:v>
                </c:pt>
                <c:pt idx="19">
                  <c:v>1.9647305340267165</c:v>
                </c:pt>
                <c:pt idx="20">
                  <c:v>2.1922298959308328</c:v>
                </c:pt>
                <c:pt idx="21">
                  <c:v>2.4324764613328229</c:v>
                </c:pt>
                <c:pt idx="22">
                  <c:v>2.6854933941468113</c:v>
                </c:pt>
                <c:pt idx="23">
                  <c:v>2.9512980178484214</c:v>
                </c:pt>
                <c:pt idx="24">
                  <c:v>3.2299075494554561</c:v>
                </c:pt>
                <c:pt idx="25">
                  <c:v>3.5213390988348241</c:v>
                </c:pt>
                <c:pt idx="26">
                  <c:v>3.8256096680122686</c:v>
                </c:pt>
                <c:pt idx="27">
                  <c:v>4.1427361504849607</c:v>
                </c:pt>
                <c:pt idx="28">
                  <c:v>4.4727205299112907</c:v>
                </c:pt>
                <c:pt idx="29">
                  <c:v>4.8155640809976488</c:v>
                </c:pt>
                <c:pt idx="30">
                  <c:v>5.1712821766383108</c:v>
                </c:pt>
                <c:pt idx="31">
                  <c:v>5.5398901022790819</c:v>
                </c:pt>
                <c:pt idx="32">
                  <c:v>5.9214030636097714</c:v>
                </c:pt>
                <c:pt idx="33">
                  <c:v>6.31583618389429</c:v>
                </c:pt>
                <c:pt idx="34">
                  <c:v>6.7232045014900033</c:v>
                </c:pt>
                <c:pt idx="35">
                  <c:v>7.1435229675339738</c:v>
                </c:pt>
                <c:pt idx="36">
                  <c:v>7.5768064437770102</c:v>
                </c:pt>
                <c:pt idx="37">
                  <c:v>8.0230697005491916</c:v>
                </c:pt>
                <c:pt idx="38">
                  <c:v>8.4823274148428052</c:v>
                </c:pt>
                <c:pt idx="39">
                  <c:v>8.9545941685005399</c:v>
                </c:pt>
                <c:pt idx="40">
                  <c:v>9.4398844464983878</c:v>
                </c:pt>
                <c:pt idx="41">
                  <c:v>9.938208170198962</c:v>
                </c:pt>
                <c:pt idx="42">
                  <c:v>10.449566220794946</c:v>
                </c:pt>
                <c:pt idx="43">
                  <c:v>10.973954889047857</c:v>
                </c:pt>
                <c:pt idx="44">
                  <c:v>11.511370335191106</c:v>
                </c:pt>
                <c:pt idx="45">
                  <c:v>12.061808587999941</c:v>
                </c:pt>
                <c:pt idx="46">
                  <c:v>12.625265543925277</c:v>
                </c:pt>
                <c:pt idx="47">
                  <c:v>13.20173696628637</c:v>
                </c:pt>
                <c:pt idx="48">
                  <c:v>13.79121848451787</c:v>
                </c:pt>
                <c:pt idx="49">
                  <c:v>14.393705593467239</c:v>
                </c:pt>
                <c:pt idx="50">
                  <c:v>15.009193652738984</c:v>
                </c:pt>
                <c:pt idx="51">
                  <c:v>15.637677886082503</c:v>
                </c:pt>
                <c:pt idx="52">
                  <c:v>16.279153380820645</c:v>
                </c:pt>
                <c:pt idx="53">
                  <c:v>16.933615087316426</c:v>
                </c:pt>
                <c:pt idx="54">
                  <c:v>17.601057818475532</c:v>
                </c:pt>
                <c:pt idx="55">
                  <c:v>18.28147624928253</c:v>
                </c:pt>
                <c:pt idx="56">
                  <c:v>18.97486491636883</c:v>
                </c:pt>
                <c:pt idx="57">
                  <c:v>19.681218217610695</c:v>
                </c:pt>
                <c:pt idx="58">
                  <c:v>20.400530411755685</c:v>
                </c:pt>
                <c:pt idx="59">
                  <c:v>21.132795618076113</c:v>
                </c:pt>
                <c:pt idx="60">
                  <c:v>21.878007816048164</c:v>
                </c:pt>
                <c:pt idx="61">
                  <c:v>22.636160845055535</c:v>
                </c:pt>
                <c:pt idx="62">
                  <c:v>23.407248404116402</c:v>
                </c:pt>
                <c:pt idx="63">
                  <c:v>24.191264051632764</c:v>
                </c:pt>
                <c:pt idx="64">
                  <c:v>24.988201205161229</c:v>
                </c:pt>
                <c:pt idx="65">
                  <c:v>25.798053141204328</c:v>
                </c:pt>
                <c:pt idx="66">
                  <c:v>26.620812995021634</c:v>
                </c:pt>
                <c:pt idx="67">
                  <c:v>27.456473760459918</c:v>
                </c:pt>
                <c:pt idx="68">
                  <c:v>28.305028289801662</c:v>
                </c:pt>
                <c:pt idx="69">
                  <c:v>29.166469293631312</c:v>
                </c:pt>
                <c:pt idx="70">
                  <c:v>30.040789340718703</c:v>
                </c:pt>
                <c:pt idx="71">
                  <c:v>30.927980857919081</c:v>
                </c:pt>
                <c:pt idx="72">
                  <c:v>31.828036130089266</c:v>
                </c:pt>
                <c:pt idx="73">
                  <c:v>32.740947300019428</c:v>
                </c:pt>
                <c:pt idx="74">
                  <c:v>33.666706368380119</c:v>
                </c:pt>
                <c:pt idx="75">
                  <c:v>34.605305193684053</c:v>
                </c:pt>
                <c:pt idx="76">
                  <c:v>35.556735492262376</c:v>
                </c:pt>
                <c:pt idx="77">
                  <c:v>36.520988838254929</c:v>
                </c:pt>
                <c:pt idx="78">
                  <c:v>37.498056663614292</c:v>
                </c:pt>
                <c:pt idx="79">
                  <c:v>38.487930258123235</c:v>
                </c:pt>
                <c:pt idx="80">
                  <c:v>39.490600769425271</c:v>
                </c:pt>
                <c:pt idx="81">
                  <c:v>40.506054671291871</c:v>
                </c:pt>
                <c:pt idx="82">
                  <c:v>41.534269223564927</c:v>
                </c:pt>
                <c:pt idx="83">
                  <c:v>42.575216993653761</c:v>
                </c:pt>
                <c:pt idx="84">
                  <c:v>43.628870386697834</c:v>
                </c:pt>
                <c:pt idx="85">
                  <c:v>44.69520164629246</c:v>
                </c:pt>
                <c:pt idx="86">
                  <c:v>45.774182855228148</c:v>
                </c:pt>
                <c:pt idx="87">
                  <c:v>46.865785936243235</c:v>
                </c:pt>
                <c:pt idx="88">
                  <c:v>47.969982652789454</c:v>
                </c:pt>
                <c:pt idx="89">
                  <c:v>49.086744609810168</c:v>
                </c:pt>
                <c:pt idx="90">
                  <c:v>50.216043254530938</c:v>
                </c:pt>
                <c:pt idx="91">
                  <c:v>51.357847874866614</c:v>
                </c:pt>
                <c:pt idx="92">
                  <c:v>52.512123594452866</c:v>
                </c:pt>
                <c:pt idx="93">
                  <c:v>53.678833371876017</c:v>
                </c:pt>
                <c:pt idx="94">
                  <c:v>54.857940003457699</c:v>
                </c:pt>
                <c:pt idx="95">
                  <c:v>56.049406124415476</c:v>
                </c:pt>
                <c:pt idx="96">
                  <c:v>57.253194210034358</c:v>
                </c:pt>
                <c:pt idx="97">
                  <c:v>58.46926657684886</c:v>
                </c:pt>
                <c:pt idx="98">
                  <c:v>59.697585383835332</c:v>
                </c:pt>
                <c:pt idx="99">
                  <c:v>60.938112633614253</c:v>
                </c:pt>
                <c:pt idx="100">
                  <c:v>62.190810173662278</c:v>
                </c:pt>
                <c:pt idx="101">
                  <c:v>63.455639377226447</c:v>
                </c:pt>
                <c:pt idx="102">
                  <c:v>64.732560823757723</c:v>
                </c:pt>
                <c:pt idx="103">
                  <c:v>66.02153461991719</c:v>
                </c:pt>
                <c:pt idx="104">
                  <c:v>67.322520721106642</c:v>
                </c:pt>
                <c:pt idx="105">
                  <c:v>68.635478932776749</c:v>
                </c:pt>
                <c:pt idx="106">
                  <c:v>69.960368911743316</c:v>
                </c:pt>
                <c:pt idx="107">
                  <c:v>71.297150167511461</c:v>
                </c:pt>
                <c:pt idx="108">
                  <c:v>72.6457820636073</c:v>
                </c:pt>
                <c:pt idx="109">
                  <c:v>74.006223818917107</c:v>
                </c:pt>
                <c:pt idx="110">
                  <c:v>75.378434509033582</c:v>
                </c:pt>
                <c:pt idx="111">
                  <c:v>76.762376755823098</c:v>
                </c:pt>
                <c:pt idx="112">
                  <c:v>78.158020422049944</c:v>
                </c:pt>
                <c:pt idx="113">
                  <c:v>79.56533892965804</c:v>
                </c:pt>
                <c:pt idx="114">
                  <c:v>80.984305572728815</c:v>
                </c:pt>
                <c:pt idx="115">
                  <c:v>82.414893518300389</c:v>
                </c:pt>
                <c:pt idx="116">
                  <c:v>83.85707580719334</c:v>
                </c:pt>
                <c:pt idx="117">
                  <c:v>85.310825354843004</c:v>
                </c:pt>
                <c:pt idx="118">
                  <c:v>86.776114952138201</c:v>
                </c:pt>
                <c:pt idx="119">
                  <c:v>88.252917266266223</c:v>
                </c:pt>
                <c:pt idx="120">
                  <c:v>89.741204841563871</c:v>
                </c:pt>
                <c:pt idx="121">
                  <c:v>91.24094398246018</c:v>
                </c:pt>
                <c:pt idx="122">
                  <c:v>92.752088628881836</c:v>
                </c:pt>
                <c:pt idx="123">
                  <c:v>94.274586468149366</c:v>
                </c:pt>
                <c:pt idx="124">
                  <c:v>95.808385054901692</c:v>
                </c:pt>
                <c:pt idx="125">
                  <c:v>97.353431812934318</c:v>
                </c:pt>
                <c:pt idx="126">
                  <c:v>98.90967403704019</c:v>
                </c:pt>
                <c:pt idx="127">
                  <c:v>100.47705889485302</c:v>
                </c:pt>
                <c:pt idx="128">
                  <c:v>102.05553342869275</c:v>
                </c:pt>
                <c:pt idx="129">
                  <c:v>103.6450445574131</c:v>
                </c:pt>
                <c:pt idx="130">
                  <c:v>105.2455390782506</c:v>
                </c:pt>
                <c:pt idx="131">
                  <c:v>106.85696206683457</c:v>
                </c:pt>
                <c:pt idx="132">
                  <c:v>108.47925527552694</c:v>
                </c:pt>
                <c:pt idx="133">
                  <c:v>110.11235873586841</c:v>
                </c:pt>
                <c:pt idx="134">
                  <c:v>111.75621236283401</c:v>
                </c:pt>
                <c:pt idx="135">
                  <c:v>113.41075595696113</c:v>
                </c:pt>
                <c:pt idx="136">
                  <c:v>115.07592920647645</c:v>
                </c:pt>
                <c:pt idx="137">
                  <c:v>116.7516716894214</c:v>
                </c:pt>
                <c:pt idx="138">
                  <c:v>118.43792287577593</c:v>
                </c:pt>
                <c:pt idx="139">
                  <c:v>120.13462212958029</c:v>
                </c:pt>
                <c:pt idx="140">
                  <c:v>121.84170871105466</c:v>
                </c:pt>
                <c:pt idx="141">
                  <c:v>123.55910262424158</c:v>
                </c:pt>
                <c:pt idx="142">
                  <c:v>125.2866854487269</c:v>
                </c:pt>
                <c:pt idx="143">
                  <c:v>127.02431948877086</c:v>
                </c:pt>
                <c:pt idx="144">
                  <c:v>128.77186694042001</c:v>
                </c:pt>
                <c:pt idx="145">
                  <c:v>130.52918989772519</c:v>
                </c:pt>
                <c:pt idx="146">
                  <c:v>132.29615035892041</c:v>
                </c:pt>
                <c:pt idx="147">
                  <c:v>134.07261023256203</c:v>
                </c:pt>
                <c:pt idx="148">
                  <c:v>135.85843134362693</c:v>
                </c:pt>
                <c:pt idx="149">
                  <c:v>137.65347543956926</c:v>
                </c:pt>
                <c:pt idx="150">
                  <c:v>139.45760419633461</c:v>
                </c:pt>
                <c:pt idx="151">
                  <c:v>141.27067922433088</c:v>
                </c:pt>
                <c:pt idx="152">
                  <c:v>143.09256207435516</c:v>
                </c:pt>
                <c:pt idx="153">
                  <c:v>144.92311424347562</c:v>
                </c:pt>
                <c:pt idx="154">
                  <c:v>146.7621971808679</c:v>
                </c:pt>
                <c:pt idx="155">
                  <c:v>148.609672293605</c:v>
                </c:pt>
                <c:pt idx="156">
                  <c:v>150.46531023282532</c:v>
                </c:pt>
                <c:pt idx="157">
                  <c:v>152.32870015962811</c:v>
                </c:pt>
                <c:pt idx="158">
                  <c:v>154.19934053211031</c:v>
                </c:pt>
                <c:pt idx="159">
                  <c:v>156.07672993311658</c:v>
                </c:pt>
                <c:pt idx="160">
                  <c:v>157.96036711654375</c:v>
                </c:pt>
                <c:pt idx="161">
                  <c:v>159.84963571845012</c:v>
                </c:pt>
                <c:pt idx="162">
                  <c:v>161.7436890236242</c:v>
                </c:pt>
                <c:pt idx="163">
                  <c:v>163.64157656115606</c:v>
                </c:pt>
                <c:pt idx="164">
                  <c:v>165.54237068465417</c:v>
                </c:pt>
                <c:pt idx="165">
                  <c:v>167.44526586288265</c:v>
                </c:pt>
                <c:pt idx="166">
                  <c:v>169.34967783643003</c:v>
                </c:pt>
                <c:pt idx="167">
                  <c:v>171.25504948739027</c:v>
                </c:pt>
                <c:pt idx="168">
                  <c:v>173.16071751107907</c:v>
                </c:pt>
                <c:pt idx="169">
                  <c:v>175.06582340779886</c:v>
                </c:pt>
                <c:pt idx="170">
                  <c:v>176.96928528637369</c:v>
                </c:pt>
                <c:pt idx="171">
                  <c:v>178.87034592471116</c:v>
                </c:pt>
                <c:pt idx="172">
                  <c:v>180.76881683826667</c:v>
                </c:pt>
                <c:pt idx="173">
                  <c:v>182.66470267874479</c:v>
                </c:pt>
                <c:pt idx="174">
                  <c:v>184.55800808201212</c:v>
                </c:pt>
                <c:pt idx="175">
                  <c:v>186.44873766816829</c:v>
                </c:pt>
                <c:pt idx="176">
                  <c:v>188.33689604161651</c:v>
                </c:pt>
                <c:pt idx="177">
                  <c:v>190.22248779113377</c:v>
                </c:pt>
                <c:pt idx="178">
                  <c:v>192.10551748994061</c:v>
                </c:pt>
                <c:pt idx="179">
                  <c:v>193.98598969577048</c:v>
                </c:pt>
                <c:pt idx="180">
                  <c:v>195.86390895093882</c:v>
                </c:pt>
                <c:pt idx="181">
                  <c:v>197.73927978241153</c:v>
                </c:pt>
                <c:pt idx="182">
                  <c:v>199.61210670187336</c:v>
                </c:pt>
                <c:pt idx="183">
                  <c:v>201.4823942057956</c:v>
                </c:pt>
                <c:pt idx="184">
                  <c:v>203.35014677550359</c:v>
                </c:pt>
                <c:pt idx="185">
                  <c:v>205.2153688772438</c:v>
                </c:pt>
                <c:pt idx="186">
                  <c:v>207.07806496225055</c:v>
                </c:pt>
                <c:pt idx="187">
                  <c:v>208.93823946681229</c:v>
                </c:pt>
                <c:pt idx="188">
                  <c:v>210.79589681233759</c:v>
                </c:pt>
                <c:pt idx="189">
                  <c:v>212.65104140542067</c:v>
                </c:pt>
                <c:pt idx="190">
                  <c:v>214.50367763790672</c:v>
                </c:pt>
                <c:pt idx="191">
                  <c:v>216.35380988695664</c:v>
                </c:pt>
                <c:pt idx="192">
                  <c:v>218.20144251511167</c:v>
                </c:pt>
                <c:pt idx="193">
                  <c:v>220.04657987035739</c:v>
                </c:pt>
                <c:pt idx="194">
                  <c:v>221.88922628618761</c:v>
                </c:pt>
                <c:pt idx="195">
                  <c:v>223.72938608166768</c:v>
                </c:pt>
                <c:pt idx="196">
                  <c:v>225.56706356149772</c:v>
                </c:pt>
                <c:pt idx="197">
                  <c:v>227.40226301607521</c:v>
                </c:pt>
                <c:pt idx="198">
                  <c:v>229.23498872155744</c:v>
                </c:pt>
                <c:pt idx="199">
                  <c:v>231.06524493992353</c:v>
                </c:pt>
                <c:pt idx="200">
                  <c:v>232.89303591903609</c:v>
                </c:pt>
                <c:pt idx="201">
                  <c:v>251.03568551352203</c:v>
                </c:pt>
                <c:pt idx="202">
                  <c:v>268.93453630754851</c:v>
                </c:pt>
                <c:pt idx="203">
                  <c:v>286.59370106166131</c:v>
                </c:pt>
                <c:pt idx="204">
                  <c:v>304.01715932046432</c:v>
                </c:pt>
                <c:pt idx="205">
                  <c:v>321.20876302032707</c:v>
                </c:pt>
                <c:pt idx="206">
                  <c:v>338.1722418002347</c:v>
                </c:pt>
                <c:pt idx="207">
                  <c:v>354.91120803451514</c:v>
                </c:pt>
                <c:pt idx="208">
                  <c:v>371.42916160480758</c:v>
                </c:pt>
                <c:pt idx="209">
                  <c:v>387.72949442737774</c:v>
                </c:pt>
                <c:pt idx="210">
                  <c:v>403.81549475073143</c:v>
                </c:pt>
                <c:pt idx="211">
                  <c:v>419.69035123741787</c:v>
                </c:pt>
                <c:pt idx="212">
                  <c:v>435.35715684293831</c:v>
                </c:pt>
                <c:pt idx="213">
                  <c:v>450.81891250377925</c:v>
                </c:pt>
                <c:pt idx="214">
                  <c:v>466.07853064576176</c:v>
                </c:pt>
                <c:pt idx="215">
                  <c:v>481.13883852313722</c:v>
                </c:pt>
                <c:pt idx="216">
                  <c:v>496.00258139815611</c:v>
                </c:pt>
                <c:pt idx="217">
                  <c:v>510.67242557018722</c:v>
                </c:pt>
                <c:pt idx="218">
                  <c:v>525.15096126286517</c:v>
                </c:pt>
                <c:pt idx="219">
                  <c:v>539.44070537718778</c:v>
                </c:pt>
                <c:pt idx="220">
                  <c:v>553.54410411797232</c:v>
                </c:pt>
                <c:pt idx="221">
                  <c:v>567.46353550060269</c:v>
                </c:pt>
                <c:pt idx="222">
                  <c:v>581.20131174455946</c:v>
                </c:pt>
                <c:pt idx="223">
                  <c:v>594.75968155981388</c:v>
                </c:pt>
                <c:pt idx="224">
                  <c:v>608.14083233178872</c:v>
                </c:pt>
                <c:pt idx="225">
                  <c:v>621.34689221023393</c:v>
                </c:pt>
                <c:pt idx="226">
                  <c:v>634.3799321070386</c:v>
                </c:pt>
                <c:pt idx="227">
                  <c:v>647.24196760769382</c:v>
                </c:pt>
                <c:pt idx="228">
                  <c:v>659.9349608008381</c:v>
                </c:pt>
                <c:pt idx="229">
                  <c:v>672.46082203005176</c:v>
                </c:pt>
                <c:pt idx="230">
                  <c:v>684.821411571819</c:v>
                </c:pt>
                <c:pt idx="231">
                  <c:v>697.01854124334807</c:v>
                </c:pt>
                <c:pt idx="232">
                  <c:v>709.05397594372312</c:v>
                </c:pt>
                <c:pt idx="233">
                  <c:v>720.92943513166256</c:v>
                </c:pt>
                <c:pt idx="234">
                  <c:v>732.64659424296929</c:v>
                </c:pt>
                <c:pt idx="235">
                  <c:v>744.20708605058508</c:v>
                </c:pt>
                <c:pt idx="236">
                  <c:v>755.61250196999583</c:v>
                </c:pt>
                <c:pt idx="237">
                  <c:v>766.86439331258123</c:v>
                </c:pt>
                <c:pt idx="238">
                  <c:v>777.9642724893597</c:v>
                </c:pt>
                <c:pt idx="239">
                  <c:v>788.91361416744326</c:v>
                </c:pt>
                <c:pt idx="240">
                  <c:v>799.71385638139236</c:v>
                </c:pt>
                <c:pt idx="241">
                  <c:v>810.36640160154025</c:v>
                </c:pt>
                <c:pt idx="242">
                  <c:v>820.87261776124831</c:v>
                </c:pt>
                <c:pt idx="243">
                  <c:v>831.23383924494556</c:v>
                </c:pt>
                <c:pt idx="244">
                  <c:v>841.45136783871135</c:v>
                </c:pt>
                <c:pt idx="245">
                  <c:v>851.52647364506561</c:v>
                </c:pt>
                <c:pt idx="246">
                  <c:v>861.46039596354501</c:v>
                </c:pt>
                <c:pt idx="247">
                  <c:v>871.2543441385626</c:v>
                </c:pt>
                <c:pt idx="248">
                  <c:v>880.90949837597054</c:v>
                </c:pt>
                <c:pt idx="249">
                  <c:v>890.42701052967459</c:v>
                </c:pt>
                <c:pt idx="250">
                  <c:v>899.80800485958002</c:v>
                </c:pt>
                <c:pt idx="251">
                  <c:v>909.05357876208473</c:v>
                </c:pt>
                <c:pt idx="252">
                  <c:v>918.16480347427557</c:v>
                </c:pt>
                <c:pt idx="253">
                  <c:v>927.14272475292569</c:v>
                </c:pt>
                <c:pt idx="254">
                  <c:v>935.98836352933756</c:v>
                </c:pt>
                <c:pt idx="255">
                  <c:v>944.70271654102601</c:v>
                </c:pt>
                <c:pt idx="256">
                  <c:v>953.28675694118658</c:v>
                </c:pt>
                <c:pt idx="257">
                  <c:v>961.74143488685024</c:v>
                </c:pt>
                <c:pt idx="258">
                  <c:v>970.06767810658221</c:v>
                </c:pt>
                <c:pt idx="259">
                  <c:v>978.26639244854175</c:v>
                </c:pt>
                <c:pt idx="260">
                  <c:v>986.33846240968307</c:v>
                </c:pt>
                <c:pt idx="261">
                  <c:v>994.28475164683925</c:v>
                </c:pt>
                <c:pt idx="262">
                  <c:v>1002.1061034703989</c:v>
                </c:pt>
                <c:pt idx="263">
                  <c:v>1009.8033413212518</c:v>
                </c:pt>
                <c:pt idx="264">
                  <c:v>1017.3772692316491</c:v>
                </c:pt>
                <c:pt idx="265">
                  <c:v>1024.8286722705955</c:v>
                </c:pt>
                <c:pt idx="266">
                  <c:v>1032.1583169743626</c:v>
                </c:pt>
                <c:pt idx="267">
                  <c:v>1039.3669517626879</c:v>
                </c:pt>
                <c:pt idx="268">
                  <c:v>1046.4553073411971</c:v>
                </c:pt>
                <c:pt idx="269">
                  <c:v>1053.4240970905671</c:v>
                </c:pt>
                <c:pt idx="270">
                  <c:v>1060.2740174429241</c:v>
                </c:pt>
                <c:pt idx="271">
                  <c:v>1067.0057482459481</c:v>
                </c:pt>
                <c:pt idx="272">
                  <c:v>1073.6199531151399</c:v>
                </c:pt>
                <c:pt idx="273">
                  <c:v>1080.1172797746847</c:v>
                </c:pt>
                <c:pt idx="274">
                  <c:v>1086.4983603873304</c:v>
                </c:pt>
                <c:pt idx="275">
                  <c:v>1092.7638118736825</c:v>
                </c:pt>
                <c:pt idx="276">
                  <c:v>1098.9142362213017</c:v>
                </c:pt>
                <c:pt idx="277">
                  <c:v>1104.9502207839757</c:v>
                </c:pt>
                <c:pt idx="278">
                  <c:v>1110.872338571523</c:v>
                </c:pt>
                <c:pt idx="279">
                  <c:v>1116.6811485304743</c:v>
                </c:pt>
                <c:pt idx="280">
                  <c:v>1122.3771958159673</c:v>
                </c:pt>
                <c:pt idx="281">
                  <c:v>1127.9610120551733</c:v>
                </c:pt>
                <c:pt idx="282">
                  <c:v>1133.433115602573</c:v>
                </c:pt>
                <c:pt idx="283">
                  <c:v>1138.7940117873825</c:v>
                </c:pt>
                <c:pt idx="284">
                  <c:v>1144.0441931534258</c:v>
                </c:pt>
                <c:pt idx="285">
                  <c:v>1149.1841396917414</c:v>
                </c:pt>
                <c:pt idx="286">
                  <c:v>1154.2143190662048</c:v>
                </c:pt>
                <c:pt idx="287">
                  <c:v>1159.135186832443</c:v>
                </c:pt>
                <c:pt idx="288">
                  <c:v>1163.9471866503125</c:v>
                </c:pt>
                <c:pt idx="289">
                  <c:v>1168.6507504902074</c:v>
                </c:pt>
                <c:pt idx="290">
                  <c:v>1173.2462988334648</c:v>
                </c:pt>
                <c:pt idx="291">
                  <c:v>1177.7342408671295</c:v>
                </c:pt>
                <c:pt idx="292">
                  <c:v>1182.1149746733431</c:v>
                </c:pt>
                <c:pt idx="293">
                  <c:v>1186.3888874136219</c:v>
                </c:pt>
                <c:pt idx="294">
                  <c:v>1190.5563555082904</c:v>
                </c:pt>
                <c:pt idx="295">
                  <c:v>1194.6177448113428</c:v>
                </c:pt>
                <c:pt idx="296">
                  <c:v>1198.5734107810081</c:v>
                </c:pt>
                <c:pt idx="297">
                  <c:v>1202.4236986463043</c:v>
                </c:pt>
                <c:pt idx="298">
                  <c:v>1206.1689435698759</c:v>
                </c:pt>
                <c:pt idx="299">
                  <c:v>1209.8094708074188</c:v>
                </c:pt>
                <c:pt idx="300">
                  <c:v>1213.3455958640129</c:v>
                </c:pt>
                <c:pt idx="301">
                  <c:v>1216.7776246476992</c:v>
                </c:pt>
                <c:pt idx="302">
                  <c:v>1220.1058536206554</c:v>
                </c:pt>
                <c:pt idx="303">
                  <c:v>1223.330569948349</c:v>
                </c:pt>
                <c:pt idx="304">
                  <c:v>1226.4520516470727</c:v>
                </c:pt>
                <c:pt idx="305">
                  <c:v>1229.4705677302945</c:v>
                </c:pt>
                <c:pt idx="306">
                  <c:v>1232.3863783542913</c:v>
                </c:pt>
                <c:pt idx="307">
                  <c:v>1235.1997349635717</c:v>
                </c:pt>
                <c:pt idx="308">
                  <c:v>1237.9108804366369</c:v>
                </c:pt>
                <c:pt idx="309">
                  <c:v>1240.5200492326746</c:v>
                </c:pt>
                <c:pt idx="310">
                  <c:v>1243.0274675398355</c:v>
                </c:pt>
                <c:pt idx="311">
                  <c:v>1245.4333534257978</c:v>
                </c:pt>
                <c:pt idx="312">
                  <c:v>1247.7379169913879</c:v>
                </c:pt>
                <c:pt idx="313">
                  <c:v>1249.9413605280918</c:v>
                </c:pt>
                <c:pt idx="314">
                  <c:v>1252.0438786803609</c:v>
                </c:pt>
                <c:pt idx="315">
                  <c:v>1254.0456586136913</c:v>
                </c:pt>
                <c:pt idx="316">
                  <c:v>1255.9468801895273</c:v>
                </c:pt>
                <c:pt idx="317">
                  <c:v>1257.7477161481102</c:v>
                </c:pt>
                <c:pt idx="318">
                  <c:v>1259.448332300469</c:v>
                </c:pt>
                <c:pt idx="319">
                  <c:v>1261.0488877308003</c:v>
                </c:pt>
                <c:pt idx="320">
                  <c:v>1262.549535010538</c:v>
                </c:pt>
                <c:pt idx="321">
                  <c:v>1263.9504204254413</c:v>
                </c:pt>
                <c:pt idx="322">
                  <c:v>1265.2516842170298</c:v>
                </c:pt>
                <c:pt idx="323">
                  <c:v>1266.4534608396687</c:v>
                </c:pt>
                <c:pt idx="324">
                  <c:v>1267.5558792345321</c:v>
                </c:pt>
                <c:pt idx="325">
                  <c:v>1268.5590631215575</c:v>
                </c:pt>
                <c:pt idx="326">
                  <c:v>1269.4631313103207</c:v>
                </c:pt>
                <c:pt idx="327">
                  <c:v>1270.2681980305276</c:v>
                </c:pt>
                <c:pt idx="328">
                  <c:v>1270.9743732825063</c:v>
                </c:pt>
                <c:pt idx="329">
                  <c:v>1271.581763207711</c:v>
                </c:pt>
                <c:pt idx="330">
                  <c:v>1272.0904704788122</c:v>
                </c:pt>
                <c:pt idx="331">
                  <c:v>1272.5005947084585</c:v>
                </c:pt>
                <c:pt idx="332">
                  <c:v>1272.8122328752654</c:v>
                </c:pt>
                <c:pt idx="333">
                  <c:v>1273.0254797650553</c:v>
                </c:pt>
                <c:pt idx="334">
                  <c:v>1273.1404284248381</c:v>
                </c:pt>
                <c:pt idx="335">
                  <c:v>1273.1571706265424</c:v>
                </c:pt>
                <c:pt idx="336">
                  <c:v>1273.0757973370996</c:v>
                </c:pt>
                <c:pt idx="337">
                  <c:v>1272.8963991911698</c:v>
                </c:pt>
                <c:pt idx="338">
                  <c:v>1272.6190669626224</c:v>
                </c:pt>
                <c:pt idx="339">
                  <c:v>1272.2438920308314</c:v>
                </c:pt>
                <c:pt idx="340">
                  <c:v>1271.7709668379459</c:v>
                </c:pt>
                <c:pt idx="341">
                  <c:v>1271.2003853335232</c:v>
                </c:pt>
                <c:pt idx="342">
                  <c:v>1270.5322434032605</c:v>
                </c:pt>
                <c:pt idx="343">
                  <c:v>1269.7666392790013</c:v>
                </c:pt>
                <c:pt idx="344">
                  <c:v>1268.903673927698</c:v>
                </c:pt>
                <c:pt idx="345">
                  <c:v>1267.9434514175471</c:v>
                </c:pt>
                <c:pt idx="346">
                  <c:v>1266.886079260056</c:v>
                </c:pt>
                <c:pt idx="347">
                  <c:v>1265.7316687273185</c:v>
                </c:pt>
                <c:pt idx="348">
                  <c:v>1264.4803351442451</c:v>
                </c:pt>
                <c:pt idx="349">
                  <c:v>1263.1321981559211</c:v>
                </c:pt>
                <c:pt idx="350">
                  <c:v>1261.6873819706043</c:v>
                </c:pt>
                <c:pt idx="351">
                  <c:v>1260.1460155791683</c:v>
                </c:pt>
                <c:pt idx="352">
                  <c:v>1258.5082329520012</c:v>
                </c:pt>
                <c:pt idx="353">
                  <c:v>1256.7741732145325</c:v>
                </c:pt>
                <c:pt idx="354">
                  <c:v>1254.9439808026507</c:v>
                </c:pt>
                <c:pt idx="355">
                  <c:v>1253.0178055993294</c:v>
                </c:pt>
                <c:pt idx="356">
                  <c:v>1250.9958030537898</c:v>
                </c:pt>
                <c:pt idx="357">
                  <c:v>1248.8781342845086</c:v>
                </c:pt>
                <c:pt idx="358">
                  <c:v>1246.6649661673403</c:v>
                </c:pt>
                <c:pt idx="359">
                  <c:v>1244.3564714099632</c:v>
                </c:pt>
                <c:pt idx="360">
                  <c:v>1241.9528286137918</c:v>
                </c:pt>
                <c:pt idx="361">
                  <c:v>1239.4542223244173</c:v>
                </c:pt>
                <c:pt idx="362">
                  <c:v>1236.860843071569</c:v>
                </c:pt>
                <c:pt idx="363">
                  <c:v>1234.1728873994991</c:v>
                </c:pt>
                <c:pt idx="364">
                  <c:v>1231.3905578886274</c:v>
                </c:pt>
                <c:pt idx="365">
                  <c:v>1228.5140631692004</c:v>
                </c:pt>
                <c:pt idx="366">
                  <c:v>1225.5436179276544</c:v>
                </c:pt>
                <c:pt idx="367">
                  <c:v>1222.479442906307</c:v>
                </c:pt>
                <c:pt idx="368">
                  <c:v>1219.3217648969378</c:v>
                </c:pt>
                <c:pt idx="369">
                  <c:v>1216.0708167287701</c:v>
                </c:pt>
                <c:pt idx="370">
                  <c:v>1212.7268372513095</c:v>
                </c:pt>
                <c:pt idx="371">
                  <c:v>1209.2900713124538</c:v>
                </c:pt>
                <c:pt idx="372">
                  <c:v>1205.7607697322471</c:v>
                </c:pt>
                <c:pt idx="373">
                  <c:v>1202.1391892726119</c:v>
                </c:pt>
                <c:pt idx="374">
                  <c:v>1198.4255926033647</c:v>
                </c:pt>
                <c:pt idx="375">
                  <c:v>1194.6202482647864</c:v>
                </c:pt>
                <c:pt idx="376">
                  <c:v>1190.7234306269947</c:v>
                </c:pt>
                <c:pt idx="377">
                  <c:v>1186.7354198463445</c:v>
                </c:pt>
                <c:pt idx="378">
                  <c:v>1182.6565018190565</c:v>
                </c:pt>
                <c:pt idx="379">
                  <c:v>1178.4869681322621</c:v>
                </c:pt>
                <c:pt idx="380">
                  <c:v>1174.2271160126279</c:v>
                </c:pt>
                <c:pt idx="381">
                  <c:v>1169.8772482727202</c:v>
                </c:pt>
                <c:pt idx="382">
                  <c:v>1165.437673255243</c:v>
                </c:pt>
                <c:pt idx="383">
                  <c:v>1160.9087047752851</c:v>
                </c:pt>
                <c:pt idx="384">
                  <c:v>1156.2906620606911</c:v>
                </c:pt>
                <c:pt idx="385">
                  <c:v>1151.5838696906696</c:v>
                </c:pt>
                <c:pt idx="386">
                  <c:v>1146.7886575327373</c:v>
                </c:pt>
                <c:pt idx="387">
                  <c:v>1141.9053606780967</c:v>
                </c:pt>
                <c:pt idx="388">
                  <c:v>1136.9343193755356</c:v>
                </c:pt>
                <c:pt idx="389">
                  <c:v>1131.8758789639296</c:v>
                </c:pt>
                <c:pt idx="390">
                  <c:v>1126.7303898034277</c:v>
                </c:pt>
                <c:pt idx="391">
                  <c:v>1121.4982072053917</c:v>
                </c:pt>
                <c:pt idx="392">
                  <c:v>1116.1796913611624</c:v>
                </c:pt>
                <c:pt idx="393">
                  <c:v>1110.7752072697147</c:v>
                </c:pt>
                <c:pt idx="394">
                  <c:v>1105.2851246642663</c:v>
                </c:pt>
                <c:pt idx="395">
                  <c:v>1099.7098179378997</c:v>
                </c:pt>
                <c:pt idx="396">
                  <c:v>1094.0496660682527</c:v>
                </c:pt>
                <c:pt idx="397">
                  <c:v>1088.3050525413341</c:v>
                </c:pt>
                <c:pt idx="398">
                  <c:v>1082.4763652745169</c:v>
                </c:pt>
                <c:pt idx="399">
                  <c:v>1076.5639965387579</c:v>
                </c:pt>
                <c:pt idx="400">
                  <c:v>1070.5683428800955</c:v>
                </c:pt>
                <c:pt idx="401">
                  <c:v>1064.4898050404704</c:v>
                </c:pt>
                <c:pt idx="402">
                  <c:v>1058.3287878779158</c:v>
                </c:pt>
                <c:pt idx="403">
                  <c:v>1052.085700286164</c:v>
                </c:pt>
                <c:pt idx="404">
                  <c:v>1045.760955113708</c:v>
                </c:pt>
                <c:pt idx="405">
                  <c:v>1039.3549690823656</c:v>
                </c:pt>
                <c:pt idx="406">
                  <c:v>1032.8681627053838</c:v>
                </c:pt>
                <c:pt idx="407">
                  <c:v>1026.3009602051234</c:v>
                </c:pt>
                <c:pt idx="408">
                  <c:v>1019.6537894303656</c:v>
                </c:pt>
                <c:pt idx="409">
                  <c:v>1012.9270817732776</c:v>
                </c:pt>
                <c:pt idx="410">
                  <c:v>1006.1212720860739</c:v>
                </c:pt>
                <c:pt idx="411">
                  <c:v>999.23679859741219</c:v>
                </c:pt>
                <c:pt idx="412">
                  <c:v>992.27410282855794</c:v>
                </c:pt>
                <c:pt idx="413">
                  <c:v>985.23362950935439</c:v>
                </c:pt>
                <c:pt idx="414">
                  <c:v>978.11582649403226</c:v>
                </c:pt>
                <c:pt idx="415">
                  <c:v>970.92114467689339</c:v>
                </c:pt>
                <c:pt idx="416">
                  <c:v>963.65003790790161</c:v>
                </c:pt>
                <c:pt idx="417">
                  <c:v>956.30296290821366</c:v>
                </c:pt>
                <c:pt idx="418">
                  <c:v>948.88037918568239</c:v>
                </c:pt>
                <c:pt idx="419">
                  <c:v>941.38274895036454</c:v>
                </c:pt>
                <c:pt idx="420">
                  <c:v>933.8105370300633</c:v>
                </c:pt>
                <c:pt idx="421">
                  <c:v>926.16421078593646</c:v>
                </c:pt>
                <c:pt idx="422">
                  <c:v>918.44424002820074</c:v>
                </c:pt>
                <c:pt idx="423">
                  <c:v>910.65109693196052</c:v>
                </c:pt>
                <c:pt idx="424">
                  <c:v>902.78525595319127</c:v>
                </c:pt>
                <c:pt idx="425">
                  <c:v>894.84719374490476</c:v>
                </c:pt>
                <c:pt idx="426">
                  <c:v>886.83738907352461</c:v>
                </c:pt>
                <c:pt idx="427">
                  <c:v>878.756322735499</c:v>
                </c:pt>
                <c:pt idx="428">
                  <c:v>870.60447747417766</c:v>
                </c:pt>
                <c:pt idx="429">
                  <c:v>862.38233789697881</c:v>
                </c:pt>
                <c:pt idx="430">
                  <c:v>854.09039039287234</c:v>
                </c:pt>
                <c:pt idx="431">
                  <c:v>845.72912305020327</c:v>
                </c:pt>
                <c:pt idx="432">
                  <c:v>837.29902557488151</c:v>
                </c:pt>
                <c:pt idx="433">
                  <c:v>828.80058920896067</c:v>
                </c:pt>
                <c:pt idx="434">
                  <c:v>820.23430664962996</c:v>
                </c:pt>
                <c:pt idx="435">
                  <c:v>811.60067196864213</c:v>
                </c:pt>
                <c:pt idx="436">
                  <c:v>802.90018053219978</c:v>
                </c:pt>
                <c:pt idx="437">
                  <c:v>794.13332892132189</c:v>
                </c:pt>
                <c:pt idx="438">
                  <c:v>785.30061485271153</c:v>
                </c:pt>
                <c:pt idx="439">
                  <c:v>776.40253710014679</c:v>
                </c:pt>
                <c:pt idx="440">
                  <c:v>767.43959541641311</c:v>
                </c:pt>
                <c:pt idx="441">
                  <c:v>758.41229045579882</c:v>
                </c:pt>
                <c:pt idx="442">
                  <c:v>749.32112369717174</c:v>
                </c:pt>
                <c:pt idx="443">
                  <c:v>740.16659736765553</c:v>
                </c:pt>
                <c:pt idx="444">
                  <c:v>730.94921436692437</c:v>
                </c:pt>
                <c:pt idx="445">
                  <c:v>721.66947819213317</c:v>
                </c:pt>
                <c:pt idx="446">
                  <c:v>712.32789286350044</c:v>
                </c:pt>
                <c:pt idx="447">
                  <c:v>702.92496285055984</c:v>
                </c:pt>
                <c:pt idx="448">
                  <c:v>693.46119299909662</c:v>
                </c:pt>
                <c:pt idx="449">
                  <c:v>683.93708845878473</c:v>
                </c:pt>
                <c:pt idx="450">
                  <c:v>674.35315461153823</c:v>
                </c:pt>
                <c:pt idx="451">
                  <c:v>664.70989700059249</c:v>
                </c:pt>
                <c:pt idx="452">
                  <c:v>655.007821260328</c:v>
                </c:pt>
                <c:pt idx="453">
                  <c:v>645.24743304685069</c:v>
                </c:pt>
                <c:pt idx="454">
                  <c:v>635.42923796934076</c:v>
                </c:pt>
                <c:pt idx="455">
                  <c:v>625.55374152218303</c:v>
                </c:pt>
                <c:pt idx="456">
                  <c:v>615.62144901788895</c:v>
                </c:pt>
                <c:pt idx="457">
                  <c:v>605.63286552082309</c:v>
                </c:pt>
                <c:pt idx="458">
                  <c:v>595.58849578174363</c:v>
                </c:pt>
                <c:pt idx="459">
                  <c:v>585.48884417316674</c:v>
                </c:pt>
                <c:pt idx="460">
                  <c:v>575.33441462556516</c:v>
                </c:pt>
                <c:pt idx="461">
                  <c:v>565.12571056440913</c:v>
                </c:pt>
                <c:pt idx="462">
                  <c:v>554.86323484805916</c:v>
                </c:pt>
                <c:pt idx="463">
                  <c:v>544.54748970651758</c:v>
                </c:pt>
                <c:pt idx="464">
                  <c:v>534.17897668104729</c:v>
                </c:pt>
                <c:pt idx="465">
                  <c:v>523.75819656466399</c:v>
                </c:pt>
                <c:pt idx="466">
                  <c:v>513.28564934350902</c:v>
                </c:pt>
                <c:pt idx="467">
                  <c:v>502.76183413910854</c:v>
                </c:pt>
                <c:pt idx="468">
                  <c:v>492.18724915152472</c:v>
                </c:pt>
                <c:pt idx="469">
                  <c:v>481.56239160340408</c:v>
                </c:pt>
                <c:pt idx="470">
                  <c:v>470.88775768492741</c:v>
                </c:pt>
                <c:pt idx="471">
                  <c:v>460.16384249966586</c:v>
                </c:pt>
                <c:pt idx="472">
                  <c:v>449.39114001134647</c:v>
                </c:pt>
                <c:pt idx="473">
                  <c:v>438.57014299153076</c:v>
                </c:pt>
                <c:pt idx="474">
                  <c:v>427.70134296820919</c:v>
                </c:pt>
                <c:pt idx="475">
                  <c:v>416.7852301753137</c:v>
                </c:pt>
                <c:pt idx="476">
                  <c:v>405.82229350315055</c:v>
                </c:pt>
                <c:pt idx="477">
                  <c:v>394.8130204497549</c:v>
                </c:pt>
                <c:pt idx="478">
                  <c:v>383.75789707316841</c:v>
                </c:pt>
                <c:pt idx="479">
                  <c:v>372.65740794464057</c:v>
                </c:pt>
                <c:pt idx="480">
                  <c:v>361.51203610275388</c:v>
                </c:pt>
                <c:pt idx="481">
                  <c:v>350.3222630084735</c:v>
                </c:pt>
                <c:pt idx="482">
                  <c:v>339.08856850112011</c:v>
                </c:pt>
                <c:pt idx="483">
                  <c:v>327.8114307552658</c:v>
                </c:pt>
                <c:pt idx="484">
                  <c:v>316.49132623855189</c:v>
                </c:pt>
                <c:pt idx="485">
                  <c:v>305.12872967042671</c:v>
                </c:pt>
                <c:pt idx="486">
                  <c:v>293.72411398180168</c:v>
                </c:pt>
                <c:pt idx="487">
                  <c:v>282.27795027562382</c:v>
                </c:pt>
                <c:pt idx="488">
                  <c:v>270.79070778836177</c:v>
                </c:pt>
                <c:pt idx="489">
                  <c:v>259.26285385240249</c:v>
                </c:pt>
                <c:pt idx="490">
                  <c:v>247.6948538593557</c:v>
                </c:pt>
                <c:pt idx="491">
                  <c:v>236.08717122426236</c:v>
                </c:pt>
                <c:pt idx="492">
                  <c:v>224.44026735070344</c:v>
                </c:pt>
                <c:pt idx="493">
                  <c:v>212.75460159680506</c:v>
                </c:pt>
                <c:pt idx="494">
                  <c:v>201.03063124213537</c:v>
                </c:pt>
                <c:pt idx="495">
                  <c:v>189.26881145548873</c:v>
                </c:pt>
                <c:pt idx="496">
                  <c:v>177.46959526355215</c:v>
                </c:pt>
                <c:pt idx="497">
                  <c:v>165.63343352044893</c:v>
                </c:pt>
                <c:pt idx="498">
                  <c:v>153.76077487815394</c:v>
                </c:pt>
                <c:pt idx="499">
                  <c:v>141.85206575777497</c:v>
                </c:pt>
                <c:pt idx="500">
                  <c:v>129.90775032169415</c:v>
                </c:pt>
                <c:pt idx="501">
                  <c:v>117.92827044656339</c:v>
                </c:pt>
                <c:pt idx="502">
                  <c:v>105.91406569714735</c:v>
                </c:pt>
                <c:pt idx="503">
                  <c:v>93.865573301007515</c:v>
                </c:pt>
                <c:pt idx="504">
                  <c:v>81.783228124020482</c:v>
                </c:pt>
                <c:pt idx="505">
                  <c:v>69.667462646723493</c:v>
                </c:pt>
                <c:pt idx="506">
                  <c:v>57.518706941480069</c:v>
                </c:pt>
                <c:pt idx="507">
                  <c:v>45.337388650458387</c:v>
                </c:pt>
                <c:pt idx="508">
                  <c:v>33.123932964414863</c:v>
                </c:pt>
                <c:pt idx="509">
                  <c:v>20.878762602275266</c:v>
                </c:pt>
                <c:pt idx="510">
                  <c:v>8.602297791505455</c:v>
                </c:pt>
                <c:pt idx="511">
                  <c:v>-3.7050437507362108</c:v>
                </c:pt>
                <c:pt idx="512">
                  <c:v>-3.7173664416571324</c:v>
                </c:pt>
                <c:pt idx="513">
                  <c:v>-3.7296891628324311</c:v>
                </c:pt>
                <c:pt idx="514">
                  <c:v>-3.7420119142616972</c:v>
                </c:pt>
                <c:pt idx="515">
                  <c:v>-3.7543346959445199</c:v>
                </c:pt>
                <c:pt idx="516">
                  <c:v>-3.7666575078804887</c:v>
                </c:pt>
                <c:pt idx="517">
                  <c:v>-3.7789803500691934</c:v>
                </c:pt>
                <c:pt idx="518">
                  <c:v>-3.7913032225102237</c:v>
                </c:pt>
                <c:pt idx="519">
                  <c:v>-3.8036261252031691</c:v>
                </c:pt>
                <c:pt idx="520">
                  <c:v>-3.815949058147619</c:v>
                </c:pt>
                <c:pt idx="521">
                  <c:v>-3.8282720213431634</c:v>
                </c:pt>
                <c:pt idx="522">
                  <c:v>-3.8405950147893919</c:v>
                </c:pt>
                <c:pt idx="523">
                  <c:v>-3.8529180384858939</c:v>
                </c:pt>
                <c:pt idx="524">
                  <c:v>-3.8652410924322593</c:v>
                </c:pt>
                <c:pt idx="525">
                  <c:v>-3.8775641766280775</c:v>
                </c:pt>
                <c:pt idx="526">
                  <c:v>-3.8898872910729385</c:v>
                </c:pt>
                <c:pt idx="527">
                  <c:v>-3.9022104357664316</c:v>
                </c:pt>
                <c:pt idx="528">
                  <c:v>-3.9145336107081463</c:v>
                </c:pt>
                <c:pt idx="529">
                  <c:v>-3.9268568158976724</c:v>
                </c:pt>
                <c:pt idx="530">
                  <c:v>-3.9391800513346</c:v>
                </c:pt>
                <c:pt idx="531">
                  <c:v>-3.9515033170185183</c:v>
                </c:pt>
                <c:pt idx="532">
                  <c:v>-3.9638266129490169</c:v>
                </c:pt>
                <c:pt idx="533">
                  <c:v>-3.9761499391256856</c:v>
                </c:pt>
                <c:pt idx="534">
                  <c:v>-3.9884732955481144</c:v>
                </c:pt>
                <c:pt idx="535">
                  <c:v>-4.000796682215892</c:v>
                </c:pt>
                <c:pt idx="536">
                  <c:v>-4.0131200991286091</c:v>
                </c:pt>
                <c:pt idx="537">
                  <c:v>-4.0254435462858549</c:v>
                </c:pt>
                <c:pt idx="538">
                  <c:v>-4.037767023687219</c:v>
                </c:pt>
                <c:pt idx="539">
                  <c:v>-4.0500905313322919</c:v>
                </c:pt>
                <c:pt idx="540">
                  <c:v>-4.0624140692206625</c:v>
                </c:pt>
                <c:pt idx="541">
                  <c:v>-4.0747376373519204</c:v>
                </c:pt>
                <c:pt idx="542">
                  <c:v>-4.0870612357256553</c:v>
                </c:pt>
                <c:pt idx="543">
                  <c:v>-4.0993848643414568</c:v>
                </c:pt>
                <c:pt idx="544">
                  <c:v>-4.1117085231989154</c:v>
                </c:pt>
                <c:pt idx="545">
                  <c:v>-4.1240322122976201</c:v>
                </c:pt>
                <c:pt idx="546">
                  <c:v>-4.1363559316371603</c:v>
                </c:pt>
                <c:pt idx="547">
                  <c:v>-4.1486796812171267</c:v>
                </c:pt>
                <c:pt idx="548">
                  <c:v>-4.1610034610371081</c:v>
                </c:pt>
                <c:pt idx="549">
                  <c:v>-4.1733272710966949</c:v>
                </c:pt>
                <c:pt idx="550">
                  <c:v>-4.185651111395476</c:v>
                </c:pt>
                <c:pt idx="551">
                  <c:v>-4.1979749819330419</c:v>
                </c:pt>
                <c:pt idx="552">
                  <c:v>-4.2102988827089813</c:v>
                </c:pt>
                <c:pt idx="553">
                  <c:v>-4.2226228137228849</c:v>
                </c:pt>
                <c:pt idx="554">
                  <c:v>-4.2349467749743424</c:v>
                </c:pt>
                <c:pt idx="555">
                  <c:v>-4.2472707664629423</c:v>
                </c:pt>
                <c:pt idx="556">
                  <c:v>-4.2595947881882754</c:v>
                </c:pt>
                <c:pt idx="557">
                  <c:v>-4.2719188401499313</c:v>
                </c:pt>
                <c:pt idx="558">
                  <c:v>-4.2842429223474996</c:v>
                </c:pt>
                <c:pt idx="559">
                  <c:v>-4.29656703478057</c:v>
                </c:pt>
                <c:pt idx="560">
                  <c:v>-4.3088911774487322</c:v>
                </c:pt>
                <c:pt idx="561">
                  <c:v>-4.3212153503515758</c:v>
                </c:pt>
                <c:pt idx="562">
                  <c:v>-4.3335395534886914</c:v>
                </c:pt>
                <c:pt idx="563">
                  <c:v>-4.3458637868596677</c:v>
                </c:pt>
                <c:pt idx="564">
                  <c:v>-4.3581880504640953</c:v>
                </c:pt>
                <c:pt idx="565">
                  <c:v>-4.370512344301563</c:v>
                </c:pt>
                <c:pt idx="566">
                  <c:v>-4.3828366683716613</c:v>
                </c:pt>
                <c:pt idx="567">
                  <c:v>-4.395161022673979</c:v>
                </c:pt>
                <c:pt idx="568">
                  <c:v>-4.4074854072081067</c:v>
                </c:pt>
                <c:pt idx="569">
                  <c:v>-4.4198098219736339</c:v>
                </c:pt>
                <c:pt idx="570">
                  <c:v>-4.4321342669701504</c:v>
                </c:pt>
                <c:pt idx="571">
                  <c:v>-4.4444587421972459</c:v>
                </c:pt>
                <c:pt idx="572">
                  <c:v>-4.4567832476545108</c:v>
                </c:pt>
                <c:pt idx="573">
                  <c:v>-4.469107783341534</c:v>
                </c:pt>
                <c:pt idx="574">
                  <c:v>-4.4814323492579051</c:v>
                </c:pt>
                <c:pt idx="575">
                  <c:v>-4.4937569454032147</c:v>
                </c:pt>
                <c:pt idx="576">
                  <c:v>-4.5060815717770524</c:v>
                </c:pt>
                <c:pt idx="577">
                  <c:v>-4.518406228379007</c:v>
                </c:pt>
                <c:pt idx="578">
                  <c:v>-4.530730915208669</c:v>
                </c:pt>
                <c:pt idx="579">
                  <c:v>-4.5430556322656281</c:v>
                </c:pt>
                <c:pt idx="580">
                  <c:v>-4.5553803795494749</c:v>
                </c:pt>
                <c:pt idx="581">
                  <c:v>-4.5677051570597982</c:v>
                </c:pt>
                <c:pt idx="582">
                  <c:v>-4.5800299647961875</c:v>
                </c:pt>
                <c:pt idx="583">
                  <c:v>-4.5923548027582335</c:v>
                </c:pt>
                <c:pt idx="584">
                  <c:v>-4.6046796709455258</c:v>
                </c:pt>
                <c:pt idx="585">
                  <c:v>-4.617004569357654</c:v>
                </c:pt>
                <c:pt idx="586">
                  <c:v>-4.6293294979942079</c:v>
                </c:pt>
                <c:pt idx="587">
                  <c:v>-4.6416544568547771</c:v>
                </c:pt>
                <c:pt idx="588">
                  <c:v>-4.6539794459389512</c:v>
                </c:pt>
                <c:pt idx="589">
                  <c:v>-4.6663044652463208</c:v>
                </c:pt>
                <c:pt idx="590">
                  <c:v>-4.6786295147764756</c:v>
                </c:pt>
                <c:pt idx="591">
                  <c:v>-4.6909545945290043</c:v>
                </c:pt>
                <c:pt idx="592">
                  <c:v>-4.7032797045034975</c:v>
                </c:pt>
                <c:pt idx="593">
                  <c:v>-4.7156048446995458</c:v>
                </c:pt>
                <c:pt idx="594">
                  <c:v>-4.7279300151167378</c:v>
                </c:pt>
                <c:pt idx="595">
                  <c:v>-4.7402552157546634</c:v>
                </c:pt>
                <c:pt idx="596">
                  <c:v>-4.7525804466129129</c:v>
                </c:pt>
                <c:pt idx="597">
                  <c:v>-4.7649057076910761</c:v>
                </c:pt>
                <c:pt idx="598">
                  <c:v>-4.7772309989887427</c:v>
                </c:pt>
                <c:pt idx="599">
                  <c:v>-4.7895563205055023</c:v>
                </c:pt>
                <c:pt idx="600">
                  <c:v>-4.8018816722409454</c:v>
                </c:pt>
                <c:pt idx="601">
                  <c:v>-4.8142070541946609</c:v>
                </c:pt>
                <c:pt idx="602">
                  <c:v>-4.8265324663662392</c:v>
                </c:pt>
                <c:pt idx="603">
                  <c:v>-4.8388579087552701</c:v>
                </c:pt>
                <c:pt idx="604">
                  <c:v>-4.8511833813613432</c:v>
                </c:pt>
                <c:pt idx="605">
                  <c:v>-4.863508884184049</c:v>
                </c:pt>
                <c:pt idx="606">
                  <c:v>-4.8758344172229764</c:v>
                </c:pt>
                <c:pt idx="607">
                  <c:v>-4.8881599804777158</c:v>
                </c:pt>
                <c:pt idx="608">
                  <c:v>-4.900485573947857</c:v>
                </c:pt>
                <c:pt idx="609">
                  <c:v>-4.9128111976329905</c:v>
                </c:pt>
                <c:pt idx="610">
                  <c:v>-4.925136851532705</c:v>
                </c:pt>
                <c:pt idx="611">
                  <c:v>-4.9374625356465911</c:v>
                </c:pt>
                <c:pt idx="612">
                  <c:v>-4.9497882499742385</c:v>
                </c:pt>
                <c:pt idx="613">
                  <c:v>-4.9621139945152368</c:v>
                </c:pt>
                <c:pt idx="614">
                  <c:v>-4.9744397692691757</c:v>
                </c:pt>
                <c:pt idx="615">
                  <c:v>-4.9867655742356458</c:v>
                </c:pt>
                <c:pt idx="616">
                  <c:v>-4.9990914094142367</c:v>
                </c:pt>
                <c:pt idx="617">
                  <c:v>-5.011417274804538</c:v>
                </c:pt>
                <c:pt idx="618">
                  <c:v>-5.0237431704061395</c:v>
                </c:pt>
                <c:pt idx="619">
                  <c:v>-5.0360690962186307</c:v>
                </c:pt>
                <c:pt idx="620">
                  <c:v>-5.0483950522416023</c:v>
                </c:pt>
                <c:pt idx="621">
                  <c:v>-5.0607210384746439</c:v>
                </c:pt>
                <c:pt idx="622">
                  <c:v>-5.0730470549173461</c:v>
                </c:pt>
                <c:pt idx="623">
                  <c:v>-5.0853731015692976</c:v>
                </c:pt>
                <c:pt idx="624">
                  <c:v>-5.0976991784300889</c:v>
                </c:pt>
                <c:pt idx="625">
                  <c:v>-5.1100252854993098</c:v>
                </c:pt>
                <c:pt idx="626">
                  <c:v>-5.1223514227765499</c:v>
                </c:pt>
                <c:pt idx="627">
                  <c:v>-5.1346775902613997</c:v>
                </c:pt>
                <c:pt idx="628">
                  <c:v>-5.1470037879534489</c:v>
                </c:pt>
                <c:pt idx="629">
                  <c:v>-5.1593300158522872</c:v>
                </c:pt>
                <c:pt idx="630">
                  <c:v>-5.1716562739575043</c:v>
                </c:pt>
                <c:pt idx="631">
                  <c:v>-5.1839825622686906</c:v>
                </c:pt>
                <c:pt idx="632">
                  <c:v>-5.1963088807854358</c:v>
                </c:pt>
                <c:pt idx="633">
                  <c:v>-5.2086352295073297</c:v>
                </c:pt>
                <c:pt idx="634">
                  <c:v>-5.2209616084339627</c:v>
                </c:pt>
                <c:pt idx="635">
                  <c:v>-5.2332880175649246</c:v>
                </c:pt>
                <c:pt idx="636">
                  <c:v>-5.2456144568998049</c:v>
                </c:pt>
                <c:pt idx="637">
                  <c:v>-5.2579409264381933</c:v>
                </c:pt>
                <c:pt idx="638">
                  <c:v>-5.2702674261796805</c:v>
                </c:pt>
                <c:pt idx="639">
                  <c:v>-5.282593956123856</c:v>
                </c:pt>
                <c:pt idx="640">
                  <c:v>-5.2949205162703095</c:v>
                </c:pt>
                <c:pt idx="641">
                  <c:v>-5.3072471066186315</c:v>
                </c:pt>
                <c:pt idx="642">
                  <c:v>-5.3195737271684118</c:v>
                </c:pt>
                <c:pt idx="643">
                  <c:v>-5.33190037791924</c:v>
                </c:pt>
                <c:pt idx="644">
                  <c:v>-5.3442270588707057</c:v>
                </c:pt>
                <c:pt idx="645">
                  <c:v>-5.3565537700223995</c:v>
                </c:pt>
                <c:pt idx="646">
                  <c:v>-5.3688805113739111</c:v>
                </c:pt>
                <c:pt idx="647">
                  <c:v>-5.381207282924831</c:v>
                </c:pt>
                <c:pt idx="648">
                  <c:v>-5.3935340846747488</c:v>
                </c:pt>
                <c:pt idx="649">
                  <c:v>-5.4058609166232543</c:v>
                </c:pt>
                <c:pt idx="650">
                  <c:v>-5.4181877787699371</c:v>
                </c:pt>
                <c:pt idx="651">
                  <c:v>-5.4305146711143877</c:v>
                </c:pt>
                <c:pt idx="652">
                  <c:v>-5.4428415936561958</c:v>
                </c:pt>
                <c:pt idx="653">
                  <c:v>-5.455168546394952</c:v>
                </c:pt>
                <c:pt idx="654">
                  <c:v>-5.4674955293302459</c:v>
                </c:pt>
                <c:pt idx="655">
                  <c:v>-5.4798225424616671</c:v>
                </c:pt>
                <c:pt idx="656">
                  <c:v>-5.4921495857888054</c:v>
                </c:pt>
                <c:pt idx="657">
                  <c:v>-5.5044766593112513</c:v>
                </c:pt>
                <c:pt idx="658">
                  <c:v>-5.5168037630285953</c:v>
                </c:pt>
                <c:pt idx="659">
                  <c:v>-5.5291308969404263</c:v>
                </c:pt>
                <c:pt idx="660">
                  <c:v>-5.5414580610463346</c:v>
                </c:pt>
                <c:pt idx="661">
                  <c:v>-5.5537852553459102</c:v>
                </c:pt>
                <c:pt idx="662">
                  <c:v>-5.5661124798387434</c:v>
                </c:pt>
                <c:pt idx="663">
                  <c:v>-5.5784397345244239</c:v>
                </c:pt>
                <c:pt idx="664">
                  <c:v>-5.5907670194025423</c:v>
                </c:pt>
                <c:pt idx="665">
                  <c:v>-5.6030943344726873</c:v>
                </c:pt>
                <c:pt idx="666">
                  <c:v>-5.6154216797344496</c:v>
                </c:pt>
                <c:pt idx="667">
                  <c:v>-5.6277490551874196</c:v>
                </c:pt>
                <c:pt idx="668">
                  <c:v>-5.6400764608311871</c:v>
                </c:pt>
                <c:pt idx="669">
                  <c:v>-5.6524038966653416</c:v>
                </c:pt>
                <c:pt idx="670">
                  <c:v>-5.6647313626894737</c:v>
                </c:pt>
                <c:pt idx="671">
                  <c:v>-5.6770588589031732</c:v>
                </c:pt>
                <c:pt idx="672">
                  <c:v>-5.6893863853060305</c:v>
                </c:pt>
                <c:pt idx="673">
                  <c:v>-5.7017139418976344</c:v>
                </c:pt>
                <c:pt idx="674">
                  <c:v>-5.7140415286775763</c:v>
                </c:pt>
                <c:pt idx="675">
                  <c:v>-5.7263691456454451</c:v>
                </c:pt>
                <c:pt idx="676">
                  <c:v>-5.7386967928008321</c:v>
                </c:pt>
                <c:pt idx="677">
                  <c:v>-5.7510244701433262</c:v>
                </c:pt>
                <c:pt idx="678">
                  <c:v>-5.7633521776725178</c:v>
                </c:pt>
                <c:pt idx="679">
                  <c:v>-5.7756799153879967</c:v>
                </c:pt>
                <c:pt idx="680">
                  <c:v>-5.7880076832893534</c:v>
                </c:pt>
                <c:pt idx="681">
                  <c:v>-5.8003354813761776</c:v>
                </c:pt>
                <c:pt idx="682">
                  <c:v>-5.8126633096480598</c:v>
                </c:pt>
                <c:pt idx="683">
                  <c:v>-5.8249911681045896</c:v>
                </c:pt>
                <c:pt idx="684">
                  <c:v>-5.8373190567453568</c:v>
                </c:pt>
                <c:pt idx="685">
                  <c:v>-5.8496469755699518</c:v>
                </c:pt>
                <c:pt idx="686">
                  <c:v>-5.8619749245779644</c:v>
                </c:pt>
                <c:pt idx="687">
                  <c:v>-5.8743029037689851</c:v>
                </c:pt>
                <c:pt idx="688">
                  <c:v>-5.8866309131426036</c:v>
                </c:pt>
                <c:pt idx="689">
                  <c:v>-5.8989589526984103</c:v>
                </c:pt>
                <c:pt idx="690">
                  <c:v>-5.911287022435995</c:v>
                </c:pt>
                <c:pt idx="691">
                  <c:v>-5.9236151223549482</c:v>
                </c:pt>
                <c:pt idx="692">
                  <c:v>-5.9359432524548597</c:v>
                </c:pt>
                <c:pt idx="693">
                  <c:v>-5.9482714127353189</c:v>
                </c:pt>
                <c:pt idx="694">
                  <c:v>-5.9605996031959165</c:v>
                </c:pt>
                <c:pt idx="695">
                  <c:v>-5.9729278238362422</c:v>
                </c:pt>
                <c:pt idx="696">
                  <c:v>-5.9852560746558865</c:v>
                </c:pt>
                <c:pt idx="697">
                  <c:v>-5.997584355654439</c:v>
                </c:pt>
                <c:pt idx="698">
                  <c:v>-6.0099126668314904</c:v>
                </c:pt>
                <c:pt idx="699">
                  <c:v>-6.0222410081866302</c:v>
                </c:pt>
                <c:pt idx="700">
                  <c:v>-6.0345693797194491</c:v>
                </c:pt>
                <c:pt idx="701">
                  <c:v>-6.0468977814295366</c:v>
                </c:pt>
                <c:pt idx="702">
                  <c:v>-6.0592262133164834</c:v>
                </c:pt>
                <c:pt idx="703">
                  <c:v>-6.071554675379879</c:v>
                </c:pt>
                <c:pt idx="704">
                  <c:v>-6.0838831676193132</c:v>
                </c:pt>
                <c:pt idx="705">
                  <c:v>-6.0962116900343775</c:v>
                </c:pt>
                <c:pt idx="706">
                  <c:v>-6.1085402426246604</c:v>
                </c:pt>
                <c:pt idx="707">
                  <c:v>-6.1208688253897527</c:v>
                </c:pt>
                <c:pt idx="708">
                  <c:v>-6.1331974383292449</c:v>
                </c:pt>
                <c:pt idx="709">
                  <c:v>-6.1455260814427266</c:v>
                </c:pt>
                <c:pt idx="710">
                  <c:v>-6.1578547547297875</c:v>
                </c:pt>
                <c:pt idx="711">
                  <c:v>-6.1701834581900181</c:v>
                </c:pt>
                <c:pt idx="712">
                  <c:v>-6.182512191823009</c:v>
                </c:pt>
                <c:pt idx="713">
                  <c:v>-6.1948409556283499</c:v>
                </c:pt>
                <c:pt idx="714">
                  <c:v>-6.2071697496056313</c:v>
                </c:pt>
                <c:pt idx="715">
                  <c:v>-6.2194985737544428</c:v>
                </c:pt>
                <c:pt idx="716">
                  <c:v>-6.2318274280743751</c:v>
                </c:pt>
                <c:pt idx="717">
                  <c:v>-6.2441563125650177</c:v>
                </c:pt>
                <c:pt idx="718">
                  <c:v>-6.2564852272259603</c:v>
                </c:pt>
                <c:pt idx="719">
                  <c:v>-6.2688141720567945</c:v>
                </c:pt>
                <c:pt idx="720">
                  <c:v>-6.2811431470571089</c:v>
                </c:pt>
                <c:pt idx="721">
                  <c:v>-6.2934721522264949</c:v>
                </c:pt>
                <c:pt idx="722">
                  <c:v>-6.3058011875645423</c:v>
                </c:pt>
                <c:pt idx="723">
                  <c:v>-6.3181302530708408</c:v>
                </c:pt>
                <c:pt idx="724">
                  <c:v>-6.3304593487449807</c:v>
                </c:pt>
                <c:pt idx="725">
                  <c:v>-6.3427884745865519</c:v>
                </c:pt>
                <c:pt idx="726">
                  <c:v>-6.3551176305951449</c:v>
                </c:pt>
                <c:pt idx="727">
                  <c:v>-6.3674468167703502</c:v>
                </c:pt>
                <c:pt idx="728">
                  <c:v>-6.3797760331117574</c:v>
                </c:pt>
                <c:pt idx="729">
                  <c:v>-6.3921052796189572</c:v>
                </c:pt>
                <c:pt idx="730">
                  <c:v>-6.4044345562915392</c:v>
                </c:pt>
                <c:pt idx="731">
                  <c:v>-6.416763863129094</c:v>
                </c:pt>
                <c:pt idx="732">
                  <c:v>-6.4290932001312111</c:v>
                </c:pt>
                <c:pt idx="733">
                  <c:v>-6.4414225672974812</c:v>
                </c:pt>
                <c:pt idx="734">
                  <c:v>-6.4537519646274939</c:v>
                </c:pt>
                <c:pt idx="735">
                  <c:v>-6.4660813921208398</c:v>
                </c:pt>
                <c:pt idx="736">
                  <c:v>-6.4784108497771093</c:v>
                </c:pt>
                <c:pt idx="737">
                  <c:v>-6.4907403375958923</c:v>
                </c:pt>
                <c:pt idx="738">
                  <c:v>-6.5030698555767792</c:v>
                </c:pt>
                <c:pt idx="739">
                  <c:v>-6.5153994037193597</c:v>
                </c:pt>
                <c:pt idx="740">
                  <c:v>-6.5277289820232243</c:v>
                </c:pt>
                <c:pt idx="741">
                  <c:v>-6.5400585904879636</c:v>
                </c:pt>
                <c:pt idx="742">
                  <c:v>-6.5523882291131672</c:v>
                </c:pt>
                <c:pt idx="743">
                  <c:v>-6.5647178978984257</c:v>
                </c:pt>
                <c:pt idx="744">
                  <c:v>-6.5770475968433288</c:v>
                </c:pt>
                <c:pt idx="745">
                  <c:v>-6.5893773259474671</c:v>
                </c:pt>
                <c:pt idx="746">
                  <c:v>-6.6017070852104309</c:v>
                </c:pt>
                <c:pt idx="747">
                  <c:v>-6.6140368746318101</c:v>
                </c:pt>
                <c:pt idx="748">
                  <c:v>-6.6263666942111952</c:v>
                </c:pt>
                <c:pt idx="749">
                  <c:v>-6.6386965439481758</c:v>
                </c:pt>
                <c:pt idx="750">
                  <c:v>-6.6510264238423424</c:v>
                </c:pt>
                <c:pt idx="751">
                  <c:v>-6.6633563338932857</c:v>
                </c:pt>
                <c:pt idx="752">
                  <c:v>-6.6756862741005953</c:v>
                </c:pt>
                <c:pt idx="753">
                  <c:v>-6.6880162444638618</c:v>
                </c:pt>
                <c:pt idx="754">
                  <c:v>-6.7003462449826756</c:v>
                </c:pt>
                <c:pt idx="755">
                  <c:v>-6.7126762756566265</c:v>
                </c:pt>
                <c:pt idx="756">
                  <c:v>-6.7250063364853041</c:v>
                </c:pt>
                <c:pt idx="757">
                  <c:v>-6.7373364274682999</c:v>
                </c:pt>
                <c:pt idx="758">
                  <c:v>-6.7496665486052034</c:v>
                </c:pt>
                <c:pt idx="759">
                  <c:v>-6.7619966998956054</c:v>
                </c:pt>
                <c:pt idx="760">
                  <c:v>-6.7743268813390953</c:v>
                </c:pt>
                <c:pt idx="761">
                  <c:v>-6.7866570929352639</c:v>
                </c:pt>
                <c:pt idx="762">
                  <c:v>-6.7989873346837015</c:v>
                </c:pt>
                <c:pt idx="763">
                  <c:v>-6.811317606583998</c:v>
                </c:pt>
                <c:pt idx="764">
                  <c:v>-6.8236479086357438</c:v>
                </c:pt>
                <c:pt idx="765">
                  <c:v>-6.8359782408385286</c:v>
                </c:pt>
                <c:pt idx="766">
                  <c:v>-6.8483086031919438</c:v>
                </c:pt>
                <c:pt idx="767">
                  <c:v>-6.8606389956955791</c:v>
                </c:pt>
                <c:pt idx="768">
                  <c:v>-6.8729694183490242</c:v>
                </c:pt>
                <c:pt idx="769">
                  <c:v>-6.8852998711518696</c:v>
                </c:pt>
                <c:pt idx="770">
                  <c:v>-6.8976303541037058</c:v>
                </c:pt>
                <c:pt idx="771">
                  <c:v>-6.9099608672041235</c:v>
                </c:pt>
                <c:pt idx="772">
                  <c:v>-6.9222914104527122</c:v>
                </c:pt>
                <c:pt idx="773">
                  <c:v>-6.9346219838490626</c:v>
                </c:pt>
                <c:pt idx="774">
                  <c:v>-6.9469525873927651</c:v>
                </c:pt>
                <c:pt idx="775">
                  <c:v>-6.9592832210834095</c:v>
                </c:pt>
                <c:pt idx="776">
                  <c:v>-6.9716138849205862</c:v>
                </c:pt>
                <c:pt idx="777">
                  <c:v>-6.9839445789038859</c:v>
                </c:pt>
                <c:pt idx="778">
                  <c:v>-6.996275303032899</c:v>
                </c:pt>
                <c:pt idx="779">
                  <c:v>-7.0086060573072153</c:v>
                </c:pt>
                <c:pt idx="780">
                  <c:v>-7.0209368417264253</c:v>
                </c:pt>
                <c:pt idx="781">
                  <c:v>-7.0332676562901186</c:v>
                </c:pt>
                <c:pt idx="782">
                  <c:v>-7.0455985009978859</c:v>
                </c:pt>
                <c:pt idx="783">
                  <c:v>-7.0579293758493176</c:v>
                </c:pt>
                <c:pt idx="784">
                  <c:v>-7.0702602808440043</c:v>
                </c:pt>
                <c:pt idx="785">
                  <c:v>-7.0825912159815356</c:v>
                </c:pt>
                <c:pt idx="786">
                  <c:v>-7.0949221812615031</c:v>
                </c:pt>
                <c:pt idx="787">
                  <c:v>-7.1072531766834954</c:v>
                </c:pt>
                <c:pt idx="788">
                  <c:v>-7.1195842022471041</c:v>
                </c:pt>
                <c:pt idx="789">
                  <c:v>-7.1319152579519187</c:v>
                </c:pt>
                <c:pt idx="790">
                  <c:v>-7.1442463437975299</c:v>
                </c:pt>
                <c:pt idx="791">
                  <c:v>-7.1565774597835281</c:v>
                </c:pt>
                <c:pt idx="792">
                  <c:v>-7.168908605909504</c:v>
                </c:pt>
                <c:pt idx="793">
                  <c:v>-7.1812397821750471</c:v>
                </c:pt>
                <c:pt idx="794">
                  <c:v>-7.1935709885797481</c:v>
                </c:pt>
                <c:pt idx="795">
                  <c:v>-7.2059022251231966</c:v>
                </c:pt>
                <c:pt idx="796">
                  <c:v>-7.218233491804984</c:v>
                </c:pt>
                <c:pt idx="797">
                  <c:v>-7.2305647886247</c:v>
                </c:pt>
                <c:pt idx="798">
                  <c:v>-7.2428961155819351</c:v>
                </c:pt>
                <c:pt idx="799">
                  <c:v>-7.25522747267628</c:v>
                </c:pt>
                <c:pt idx="800">
                  <c:v>-7.2675588599073242</c:v>
                </c:pt>
                <c:pt idx="801">
                  <c:v>-7.2798902772746592</c:v>
                </c:pt>
                <c:pt idx="802">
                  <c:v>-7.2922217247778747</c:v>
                </c:pt>
                <c:pt idx="803">
                  <c:v>-7.3045532024165603</c:v>
                </c:pt>
                <c:pt idx="804">
                  <c:v>-7.3168847101903074</c:v>
                </c:pt>
                <c:pt idx="805">
                  <c:v>-7.3292162480987058</c:v>
                </c:pt>
                <c:pt idx="806">
                  <c:v>-7.3415478161413459</c:v>
                </c:pt>
                <c:pt idx="807">
                  <c:v>-7.3538794143178183</c:v>
                </c:pt>
                <c:pt idx="808">
                  <c:v>-7.3662110426277136</c:v>
                </c:pt>
                <c:pt idx="809">
                  <c:v>-7.3785427010706215</c:v>
                </c:pt>
                <c:pt idx="810">
                  <c:v>-7.3908743896461333</c:v>
                </c:pt>
                <c:pt idx="811">
                  <c:v>-7.4032061083538387</c:v>
                </c:pt>
                <c:pt idx="812">
                  <c:v>-7.4155378571933284</c:v>
                </c:pt>
                <c:pt idx="813">
                  <c:v>-7.4278696361641918</c:v>
                </c:pt>
                <c:pt idx="814">
                  <c:v>-7.4402014452660206</c:v>
                </c:pt>
                <c:pt idx="815">
                  <c:v>-7.4525332844984042</c:v>
                </c:pt>
                <c:pt idx="816">
                  <c:v>-7.4648651538609334</c:v>
                </c:pt>
                <c:pt idx="817">
                  <c:v>-7.4771970533531986</c:v>
                </c:pt>
                <c:pt idx="818">
                  <c:v>-7.4895289829747895</c:v>
                </c:pt>
                <c:pt idx="819">
                  <c:v>-7.5018609427252976</c:v>
                </c:pt>
                <c:pt idx="820">
                  <c:v>-7.5141929326043124</c:v>
                </c:pt>
                <c:pt idx="821">
                  <c:v>-7.5265249526114246</c:v>
                </c:pt>
                <c:pt idx="822">
                  <c:v>-7.5388570027462247</c:v>
                </c:pt>
                <c:pt idx="823">
                  <c:v>-7.5511890830083033</c:v>
                </c:pt>
                <c:pt idx="824">
                  <c:v>-7.5635211933972499</c:v>
                </c:pt>
                <c:pt idx="825">
                  <c:v>-7.5758533339126561</c:v>
                </c:pt>
                <c:pt idx="826">
                  <c:v>-7.5881855045541116</c:v>
                </c:pt>
                <c:pt idx="827">
                  <c:v>-7.6005177053212067</c:v>
                </c:pt>
                <c:pt idx="828">
                  <c:v>-7.6128499362135322</c:v>
                </c:pt>
                <c:pt idx="829">
                  <c:v>-7.6251821972306786</c:v>
                </c:pt>
                <c:pt idx="830">
                  <c:v>-7.6375144883722363</c:v>
                </c:pt>
                <c:pt idx="831">
                  <c:v>-7.6498468096377952</c:v>
                </c:pt>
                <c:pt idx="832">
                  <c:v>-7.6621791610269456</c:v>
                </c:pt>
                <c:pt idx="833">
                  <c:v>-7.6745115425392783</c:v>
                </c:pt>
                <c:pt idx="834">
                  <c:v>-7.6868439541743836</c:v>
                </c:pt>
                <c:pt idx="835">
                  <c:v>-7.6991763959318522</c:v>
                </c:pt>
                <c:pt idx="836">
                  <c:v>-7.7115088678112746</c:v>
                </c:pt>
                <c:pt idx="837">
                  <c:v>-7.7238413698122415</c:v>
                </c:pt>
                <c:pt idx="838">
                  <c:v>-7.7361739019343423</c:v>
                </c:pt>
                <c:pt idx="839">
                  <c:v>-7.7485064641771677</c:v>
                </c:pt>
                <c:pt idx="840">
                  <c:v>-7.7608390565403091</c:v>
                </c:pt>
                <c:pt idx="841">
                  <c:v>-7.7731716790233563</c:v>
                </c:pt>
                <c:pt idx="842">
                  <c:v>-7.7855043316258996</c:v>
                </c:pt>
                <c:pt idx="843">
                  <c:v>-7.7978370143475297</c:v>
                </c:pt>
                <c:pt idx="844">
                  <c:v>-7.8101697271878363</c:v>
                </c:pt>
                <c:pt idx="845">
                  <c:v>-7.8225024701464108</c:v>
                </c:pt>
                <c:pt idx="846">
                  <c:v>-7.8348352432228436</c:v>
                </c:pt>
                <c:pt idx="847">
                  <c:v>-7.8471680464167246</c:v>
                </c:pt>
                <c:pt idx="848">
                  <c:v>-7.8595008797276442</c:v>
                </c:pt>
                <c:pt idx="849">
                  <c:v>-7.871833743155193</c:v>
                </c:pt>
                <c:pt idx="850">
                  <c:v>-7.8841666366989624</c:v>
                </c:pt>
                <c:pt idx="851">
                  <c:v>-7.8964995603585422</c:v>
                </c:pt>
                <c:pt idx="852">
                  <c:v>-7.9088325141335227</c:v>
                </c:pt>
                <c:pt idx="853">
                  <c:v>-7.9211654980234938</c:v>
                </c:pt>
                <c:pt idx="854">
                  <c:v>-7.9334985120280468</c:v>
                </c:pt>
                <c:pt idx="855">
                  <c:v>-7.9458315561467723</c:v>
                </c:pt>
                <c:pt idx="856">
                  <c:v>-7.9581646303792599</c:v>
                </c:pt>
                <c:pt idx="857">
                  <c:v>-7.9704977347251011</c:v>
                </c:pt>
                <c:pt idx="858">
                  <c:v>-7.9828308691838856</c:v>
                </c:pt>
                <c:pt idx="859">
                  <c:v>-7.9951640337552048</c:v>
                </c:pt>
                <c:pt idx="860">
                  <c:v>-8.0074972284386483</c:v>
                </c:pt>
                <c:pt idx="861">
                  <c:v>-8.0198304532338067</c:v>
                </c:pt>
                <c:pt idx="862">
                  <c:v>-8.0321637081402706</c:v>
                </c:pt>
                <c:pt idx="863">
                  <c:v>-8.0444969931576313</c:v>
                </c:pt>
                <c:pt idx="864">
                  <c:v>-8.0568303082854786</c:v>
                </c:pt>
                <c:pt idx="865">
                  <c:v>-8.0691636535234021</c:v>
                </c:pt>
                <c:pt idx="866">
                  <c:v>-8.0814970288709933</c:v>
                </c:pt>
                <c:pt idx="867">
                  <c:v>-8.0938304343278435</c:v>
                </c:pt>
                <c:pt idx="868">
                  <c:v>-8.1061638698935425</c:v>
                </c:pt>
                <c:pt idx="869">
                  <c:v>-8.1184973355676799</c:v>
                </c:pt>
                <c:pt idx="870">
                  <c:v>-8.1308308313498472</c:v>
                </c:pt>
                <c:pt idx="871">
                  <c:v>-8.1431643572396339</c:v>
                </c:pt>
                <c:pt idx="872">
                  <c:v>-8.1554979132366316</c:v>
                </c:pt>
                <c:pt idx="873">
                  <c:v>-8.16783149934043</c:v>
                </c:pt>
                <c:pt idx="874">
                  <c:v>-8.1801651155506203</c:v>
                </c:pt>
                <c:pt idx="875">
                  <c:v>-8.1924987618667942</c:v>
                </c:pt>
                <c:pt idx="876">
                  <c:v>-8.2048324382885394</c:v>
                </c:pt>
                <c:pt idx="877">
                  <c:v>-8.2171661448154492</c:v>
                </c:pt>
                <c:pt idx="878">
                  <c:v>-8.2294998814471114</c:v>
                </c:pt>
                <c:pt idx="879">
                  <c:v>-8.2418336481831194</c:v>
                </c:pt>
                <c:pt idx="880">
                  <c:v>-8.2541674450230609</c:v>
                </c:pt>
                <c:pt idx="881">
                  <c:v>-8.2665012719665292</c:v>
                </c:pt>
                <c:pt idx="882">
                  <c:v>-8.2788351290131121</c:v>
                </c:pt>
                <c:pt idx="883">
                  <c:v>-8.291169016162403</c:v>
                </c:pt>
                <c:pt idx="884">
                  <c:v>-8.3035029334139896</c:v>
                </c:pt>
                <c:pt idx="885">
                  <c:v>-8.3158368807674652</c:v>
                </c:pt>
                <c:pt idx="886">
                  <c:v>-8.3281708582224176</c:v>
                </c:pt>
                <c:pt idx="887">
                  <c:v>-8.3405048657784402</c:v>
                </c:pt>
                <c:pt idx="888">
                  <c:v>-8.3528389034351207</c:v>
                </c:pt>
                <c:pt idx="889">
                  <c:v>-8.3651729711920524</c:v>
                </c:pt>
                <c:pt idx="890">
                  <c:v>-8.3775070690488231</c:v>
                </c:pt>
                <c:pt idx="891">
                  <c:v>-8.3898411970050262</c:v>
                </c:pt>
                <c:pt idx="892">
                  <c:v>-8.4021753550602511</c:v>
                </c:pt>
                <c:pt idx="893">
                  <c:v>-8.4145095432140877</c:v>
                </c:pt>
                <c:pt idx="894">
                  <c:v>-8.4268437614661273</c:v>
                </c:pt>
                <c:pt idx="895">
                  <c:v>-8.4391780098159597</c:v>
                </c:pt>
                <c:pt idx="896">
                  <c:v>-8.4515122882631761</c:v>
                </c:pt>
                <c:pt idx="897">
                  <c:v>-8.4638465968073664</c:v>
                </c:pt>
                <c:pt idx="898">
                  <c:v>-8.4761809354481219</c:v>
                </c:pt>
                <c:pt idx="899">
                  <c:v>-8.4885153041850341</c:v>
                </c:pt>
                <c:pt idx="900">
                  <c:v>-8.5008497030176908</c:v>
                </c:pt>
                <c:pt idx="901">
                  <c:v>-8.5131841319456854</c:v>
                </c:pt>
                <c:pt idx="902">
                  <c:v>-8.5255185909686073</c:v>
                </c:pt>
                <c:pt idx="903">
                  <c:v>-8.5378530800860464</c:v>
                </c:pt>
                <c:pt idx="904">
                  <c:v>-8.5501875992975958</c:v>
                </c:pt>
                <c:pt idx="905">
                  <c:v>-8.5625221486028433</c:v>
                </c:pt>
                <c:pt idx="906">
                  <c:v>-8.5748567280013805</c:v>
                </c:pt>
                <c:pt idx="907">
                  <c:v>-8.5871913374927988</c:v>
                </c:pt>
                <c:pt idx="908">
                  <c:v>-8.5995259770766879</c:v>
                </c:pt>
                <c:pt idx="909">
                  <c:v>-8.6118606467526391</c:v>
                </c:pt>
                <c:pt idx="910">
                  <c:v>-8.6241953465202421</c:v>
                </c:pt>
                <c:pt idx="911">
                  <c:v>-8.6365300763790884</c:v>
                </c:pt>
                <c:pt idx="912">
                  <c:v>-8.6488648363287677</c:v>
                </c:pt>
                <c:pt idx="913">
                  <c:v>-8.6611996263688713</c:v>
                </c:pt>
                <c:pt idx="914">
                  <c:v>-8.673534446498989</c:v>
                </c:pt>
                <c:pt idx="915">
                  <c:v>-8.6858692967187121</c:v>
                </c:pt>
                <c:pt idx="916">
                  <c:v>-8.6982041770276322</c:v>
                </c:pt>
                <c:pt idx="917">
                  <c:v>-8.7105390874253388</c:v>
                </c:pt>
                <c:pt idx="918">
                  <c:v>-8.7228740279114216</c:v>
                </c:pt>
                <c:pt idx="919">
                  <c:v>-8.7352089984854739</c:v>
                </c:pt>
                <c:pt idx="920">
                  <c:v>-8.7475439991470836</c:v>
                </c:pt>
                <c:pt idx="921">
                  <c:v>-8.7598790298958438</c:v>
                </c:pt>
                <c:pt idx="922">
                  <c:v>-8.7722140907313424</c:v>
                </c:pt>
                <c:pt idx="923">
                  <c:v>-8.7845491816531727</c:v>
                </c:pt>
                <c:pt idx="924">
                  <c:v>-8.7968843026609242</c:v>
                </c:pt>
                <c:pt idx="925">
                  <c:v>-8.8092194537541868</c:v>
                </c:pt>
                <c:pt idx="926">
                  <c:v>-8.8215546349325518</c:v>
                </c:pt>
                <c:pt idx="927">
                  <c:v>-8.8338898461956106</c:v>
                </c:pt>
                <c:pt idx="928">
                  <c:v>-8.8462250875429529</c:v>
                </c:pt>
                <c:pt idx="929">
                  <c:v>-8.8585603589741702</c:v>
                </c:pt>
                <c:pt idx="930">
                  <c:v>-8.870895660488852</c:v>
                </c:pt>
                <c:pt idx="931">
                  <c:v>-8.8832309920865899</c:v>
                </c:pt>
                <c:pt idx="932">
                  <c:v>-8.8955663537669736</c:v>
                </c:pt>
                <c:pt idx="933">
                  <c:v>-8.9079017455295944</c:v>
                </c:pt>
                <c:pt idx="934">
                  <c:v>-8.9202371673740437</c:v>
                </c:pt>
                <c:pt idx="935">
                  <c:v>-8.9325726192999113</c:v>
                </c:pt>
                <c:pt idx="936">
                  <c:v>-8.9449081013067886</c:v>
                </c:pt>
                <c:pt idx="937">
                  <c:v>-8.9572436133942652</c:v>
                </c:pt>
                <c:pt idx="938">
                  <c:v>-8.9695791555619326</c:v>
                </c:pt>
                <c:pt idx="939">
                  <c:v>-8.9819147278093805</c:v>
                </c:pt>
                <c:pt idx="940">
                  <c:v>-8.9942503301362002</c:v>
                </c:pt>
                <c:pt idx="941">
                  <c:v>-9.0065859625419833</c:v>
                </c:pt>
                <c:pt idx="942">
                  <c:v>-9.0189216250263193</c:v>
                </c:pt>
                <c:pt idx="943">
                  <c:v>-9.0312573175887998</c:v>
                </c:pt>
                <c:pt idx="944">
                  <c:v>-9.0435930402290143</c:v>
                </c:pt>
                <c:pt idx="945">
                  <c:v>-9.0559287929465544</c:v>
                </c:pt>
                <c:pt idx="946">
                  <c:v>-9.0682645757410114</c:v>
                </c:pt>
                <c:pt idx="947">
                  <c:v>-9.080600388611975</c:v>
                </c:pt>
                <c:pt idx="948">
                  <c:v>-9.092936231559035</c:v>
                </c:pt>
                <c:pt idx="949">
                  <c:v>-9.1052721045817844</c:v>
                </c:pt>
                <c:pt idx="950">
                  <c:v>-9.1176080076798129</c:v>
                </c:pt>
                <c:pt idx="951">
                  <c:v>-9.1299439408527103</c:v>
                </c:pt>
                <c:pt idx="952">
                  <c:v>-9.142279904100068</c:v>
                </c:pt>
                <c:pt idx="953">
                  <c:v>-9.1546158974214773</c:v>
                </c:pt>
                <c:pt idx="954">
                  <c:v>-9.166951920816528</c:v>
                </c:pt>
                <c:pt idx="955">
                  <c:v>-9.1792879742848115</c:v>
                </c:pt>
                <c:pt idx="956">
                  <c:v>-9.1916240578259174</c:v>
                </c:pt>
                <c:pt idx="957">
                  <c:v>-9.203960171439439</c:v>
                </c:pt>
                <c:pt idx="958">
                  <c:v>-9.2162963151249642</c:v>
                </c:pt>
                <c:pt idx="959">
                  <c:v>-9.2286324888820861</c:v>
                </c:pt>
                <c:pt idx="960">
                  <c:v>-9.2409686927103944</c:v>
                </c:pt>
                <c:pt idx="961">
                  <c:v>-9.2533049266094789</c:v>
                </c:pt>
                <c:pt idx="962">
                  <c:v>-9.2656411905789309</c:v>
                </c:pt>
                <c:pt idx="963">
                  <c:v>-9.2779774846183418</c:v>
                </c:pt>
                <c:pt idx="964">
                  <c:v>-9.2903138087273014</c:v>
                </c:pt>
                <c:pt idx="965">
                  <c:v>-9.302650162905401</c:v>
                </c:pt>
                <c:pt idx="966">
                  <c:v>-9.3149865471522322</c:v>
                </c:pt>
                <c:pt idx="967">
                  <c:v>-9.3273229614673845</c:v>
                </c:pt>
                <c:pt idx="968">
                  <c:v>-9.3396594058504494</c:v>
                </c:pt>
                <c:pt idx="969">
                  <c:v>-9.3519958803010166</c:v>
                </c:pt>
                <c:pt idx="970">
                  <c:v>-9.3643323848186775</c:v>
                </c:pt>
                <c:pt idx="971">
                  <c:v>-9.3766689194030235</c:v>
                </c:pt>
                <c:pt idx="972">
                  <c:v>-9.3890054840536461</c:v>
                </c:pt>
                <c:pt idx="973">
                  <c:v>-9.4013420787701332</c:v>
                </c:pt>
                <c:pt idx="974">
                  <c:v>-9.4136787035520779</c:v>
                </c:pt>
                <c:pt idx="975">
                  <c:v>-9.42601535839907</c:v>
                </c:pt>
                <c:pt idx="976">
                  <c:v>-9.4383520433107009</c:v>
                </c:pt>
                <c:pt idx="977">
                  <c:v>-9.450688758286562</c:v>
                </c:pt>
                <c:pt idx="978">
                  <c:v>-9.4630255033262429</c:v>
                </c:pt>
                <c:pt idx="979">
                  <c:v>-9.4753622784293334</c:v>
                </c:pt>
                <c:pt idx="980">
                  <c:v>-9.4876990835954267</c:v>
                </c:pt>
                <c:pt idx="981">
                  <c:v>-9.5000359188241124</c:v>
                </c:pt>
                <c:pt idx="982">
                  <c:v>-9.5123727841149819</c:v>
                </c:pt>
                <c:pt idx="983">
                  <c:v>-9.5247096794676249</c:v>
                </c:pt>
                <c:pt idx="984">
                  <c:v>-9.5370466048816329</c:v>
                </c:pt>
                <c:pt idx="985">
                  <c:v>-9.5493835603565955</c:v>
                </c:pt>
                <c:pt idx="986">
                  <c:v>-9.561720545892106</c:v>
                </c:pt>
                <c:pt idx="987">
                  <c:v>-9.5740575614877539</c:v>
                </c:pt>
                <c:pt idx="988">
                  <c:v>-9.586394607143129</c:v>
                </c:pt>
                <c:pt idx="989">
                  <c:v>-9.5987316828578226</c:v>
                </c:pt>
                <c:pt idx="990">
                  <c:v>-9.6110687886314263</c:v>
                </c:pt>
                <c:pt idx="991">
                  <c:v>-9.6234059244635315</c:v>
                </c:pt>
                <c:pt idx="992">
                  <c:v>-9.6357430903537278</c:v>
                </c:pt>
                <c:pt idx="993">
                  <c:v>-9.6480802863016066</c:v>
                </c:pt>
                <c:pt idx="994">
                  <c:v>-9.6604175123067577</c:v>
                </c:pt>
                <c:pt idx="995">
                  <c:v>-9.6727547683687725</c:v>
                </c:pt>
                <c:pt idx="996">
                  <c:v>-9.6850920544872423</c:v>
                </c:pt>
                <c:pt idx="997">
                  <c:v>-9.6974293706617569</c:v>
                </c:pt>
                <c:pt idx="998">
                  <c:v>-9.7097667168919077</c:v>
                </c:pt>
                <c:pt idx="999">
                  <c:v>-9.7221040931772862</c:v>
                </c:pt>
                <c:pt idx="1000">
                  <c:v>-9.7344414995174837</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16</c:v>
                </c:pt>
                <c:pt idx="1">
                  <c:v>92.655078776212207</c:v>
                </c:pt>
                <c:pt idx="2">
                  <c:v>169.31015755242441</c:v>
                </c:pt>
                <c:pt idx="3">
                  <c:v>167.96795626908499</c:v>
                </c:pt>
                <c:pt idx="4">
                  <c:v>169.31015755242441</c:v>
                </c:pt>
                <c:pt idx="5">
                  <c:v>164.65795626908499</c:v>
                </c:pt>
                <c:pt idx="6">
                  <c:v>169.31015755242441</c:v>
                </c:pt>
              </c:numCache>
            </c:numRef>
          </c:xVal>
          <c:yVal>
            <c:numRef>
              <c:f>Trajecto!$C$132:$C$138</c:f>
              <c:numCache>
                <c:formatCode>0</c:formatCode>
                <c:ptCount val="7"/>
                <c:pt idx="0">
                  <c:v>1271.7709668379459</c:v>
                </c:pt>
                <c:pt idx="1">
                  <c:v>635.88548341897297</c:v>
                </c:pt>
                <c:pt idx="2">
                  <c:v>0</c:v>
                </c:pt>
                <c:pt idx="3">
                  <c:v>36.1586331827951</c:v>
                </c:pt>
                <c:pt idx="4">
                  <c:v>0</c:v>
                </c:pt>
                <c:pt idx="5">
                  <c:v>13.620953334704975</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33.100100000000204</c:v>
                </c:pt>
                <c:pt idx="513">
                  <c:v>33.100200000000207</c:v>
                </c:pt>
                <c:pt idx="514">
                  <c:v>33.10030000000021</c:v>
                </c:pt>
                <c:pt idx="515">
                  <c:v>33.100400000000214</c:v>
                </c:pt>
                <c:pt idx="516">
                  <c:v>33.100500000000217</c:v>
                </c:pt>
                <c:pt idx="517">
                  <c:v>33.10060000000022</c:v>
                </c:pt>
                <c:pt idx="518">
                  <c:v>33.100700000000224</c:v>
                </c:pt>
                <c:pt idx="519">
                  <c:v>33.100800000000227</c:v>
                </c:pt>
                <c:pt idx="520">
                  <c:v>33.10090000000023</c:v>
                </c:pt>
                <c:pt idx="521">
                  <c:v>33.101000000000234</c:v>
                </c:pt>
                <c:pt idx="522">
                  <c:v>33.101100000000237</c:v>
                </c:pt>
                <c:pt idx="523">
                  <c:v>33.10120000000024</c:v>
                </c:pt>
                <c:pt idx="524">
                  <c:v>33.101300000000244</c:v>
                </c:pt>
                <c:pt idx="525">
                  <c:v>33.101400000000247</c:v>
                </c:pt>
                <c:pt idx="526">
                  <c:v>33.10150000000025</c:v>
                </c:pt>
                <c:pt idx="527">
                  <c:v>33.101600000000253</c:v>
                </c:pt>
                <c:pt idx="528">
                  <c:v>33.101700000000257</c:v>
                </c:pt>
                <c:pt idx="529">
                  <c:v>33.10180000000026</c:v>
                </c:pt>
                <c:pt idx="530">
                  <c:v>33.101900000000263</c:v>
                </c:pt>
                <c:pt idx="531">
                  <c:v>33.102000000000267</c:v>
                </c:pt>
                <c:pt idx="532">
                  <c:v>33.10210000000027</c:v>
                </c:pt>
                <c:pt idx="533">
                  <c:v>33.102200000000273</c:v>
                </c:pt>
                <c:pt idx="534">
                  <c:v>33.102300000000277</c:v>
                </c:pt>
                <c:pt idx="535">
                  <c:v>33.10240000000028</c:v>
                </c:pt>
                <c:pt idx="536">
                  <c:v>33.102500000000283</c:v>
                </c:pt>
                <c:pt idx="537">
                  <c:v>33.102600000000287</c:v>
                </c:pt>
                <c:pt idx="538">
                  <c:v>33.10270000000029</c:v>
                </c:pt>
                <c:pt idx="539">
                  <c:v>33.102800000000293</c:v>
                </c:pt>
                <c:pt idx="540">
                  <c:v>33.102900000000297</c:v>
                </c:pt>
                <c:pt idx="541">
                  <c:v>33.1030000000003</c:v>
                </c:pt>
                <c:pt idx="542">
                  <c:v>33.103100000000303</c:v>
                </c:pt>
                <c:pt idx="543">
                  <c:v>33.103200000000307</c:v>
                </c:pt>
                <c:pt idx="544">
                  <c:v>33.10330000000031</c:v>
                </c:pt>
                <c:pt idx="545">
                  <c:v>33.103400000000313</c:v>
                </c:pt>
                <c:pt idx="546">
                  <c:v>33.103500000000317</c:v>
                </c:pt>
                <c:pt idx="547">
                  <c:v>33.10360000000032</c:v>
                </c:pt>
                <c:pt idx="548">
                  <c:v>33.103700000000323</c:v>
                </c:pt>
                <c:pt idx="549">
                  <c:v>33.103800000000327</c:v>
                </c:pt>
                <c:pt idx="550">
                  <c:v>33.10390000000033</c:v>
                </c:pt>
                <c:pt idx="551">
                  <c:v>33.104000000000333</c:v>
                </c:pt>
                <c:pt idx="552">
                  <c:v>33.104100000000336</c:v>
                </c:pt>
                <c:pt idx="553">
                  <c:v>33.10420000000034</c:v>
                </c:pt>
                <c:pt idx="554">
                  <c:v>33.104300000000343</c:v>
                </c:pt>
                <c:pt idx="555">
                  <c:v>33.104400000000346</c:v>
                </c:pt>
                <c:pt idx="556">
                  <c:v>33.10450000000035</c:v>
                </c:pt>
                <c:pt idx="557">
                  <c:v>33.104600000000353</c:v>
                </c:pt>
                <c:pt idx="558">
                  <c:v>33.104700000000356</c:v>
                </c:pt>
                <c:pt idx="559">
                  <c:v>33.10480000000036</c:v>
                </c:pt>
                <c:pt idx="560">
                  <c:v>33.104900000000363</c:v>
                </c:pt>
                <c:pt idx="561">
                  <c:v>33.105000000000366</c:v>
                </c:pt>
                <c:pt idx="562">
                  <c:v>33.10510000000037</c:v>
                </c:pt>
                <c:pt idx="563">
                  <c:v>33.105200000000373</c:v>
                </c:pt>
                <c:pt idx="564">
                  <c:v>33.105300000000376</c:v>
                </c:pt>
                <c:pt idx="565">
                  <c:v>33.10540000000038</c:v>
                </c:pt>
                <c:pt idx="566">
                  <c:v>33.105500000000383</c:v>
                </c:pt>
                <c:pt idx="567">
                  <c:v>33.105600000000386</c:v>
                </c:pt>
                <c:pt idx="568">
                  <c:v>33.10570000000039</c:v>
                </c:pt>
                <c:pt idx="569">
                  <c:v>33.105800000000393</c:v>
                </c:pt>
                <c:pt idx="570">
                  <c:v>33.105900000000396</c:v>
                </c:pt>
                <c:pt idx="571">
                  <c:v>33.1060000000004</c:v>
                </c:pt>
                <c:pt idx="572">
                  <c:v>33.106100000000403</c:v>
                </c:pt>
                <c:pt idx="573">
                  <c:v>33.106200000000406</c:v>
                </c:pt>
                <c:pt idx="574">
                  <c:v>33.10630000000041</c:v>
                </c:pt>
                <c:pt idx="575">
                  <c:v>33.106400000000413</c:v>
                </c:pt>
                <c:pt idx="576">
                  <c:v>33.106500000000416</c:v>
                </c:pt>
                <c:pt idx="577">
                  <c:v>33.106600000000419</c:v>
                </c:pt>
                <c:pt idx="578">
                  <c:v>33.106700000000423</c:v>
                </c:pt>
                <c:pt idx="579">
                  <c:v>33.106800000000426</c:v>
                </c:pt>
                <c:pt idx="580">
                  <c:v>33.106900000000429</c:v>
                </c:pt>
                <c:pt idx="581">
                  <c:v>33.107000000000433</c:v>
                </c:pt>
                <c:pt idx="582">
                  <c:v>33.107100000000436</c:v>
                </c:pt>
                <c:pt idx="583">
                  <c:v>33.107200000000439</c:v>
                </c:pt>
                <c:pt idx="584">
                  <c:v>33.107300000000443</c:v>
                </c:pt>
                <c:pt idx="585">
                  <c:v>33.107400000000446</c:v>
                </c:pt>
                <c:pt idx="586">
                  <c:v>33.107500000000449</c:v>
                </c:pt>
                <c:pt idx="587">
                  <c:v>33.107600000000453</c:v>
                </c:pt>
                <c:pt idx="588">
                  <c:v>33.107700000000456</c:v>
                </c:pt>
                <c:pt idx="589">
                  <c:v>33.107800000000459</c:v>
                </c:pt>
                <c:pt idx="590">
                  <c:v>33.107900000000463</c:v>
                </c:pt>
                <c:pt idx="591">
                  <c:v>33.108000000000466</c:v>
                </c:pt>
                <c:pt idx="592">
                  <c:v>33.108100000000469</c:v>
                </c:pt>
                <c:pt idx="593">
                  <c:v>33.108200000000473</c:v>
                </c:pt>
                <c:pt idx="594">
                  <c:v>33.108300000000476</c:v>
                </c:pt>
                <c:pt idx="595">
                  <c:v>33.108400000000479</c:v>
                </c:pt>
                <c:pt idx="596">
                  <c:v>33.108500000000483</c:v>
                </c:pt>
                <c:pt idx="597">
                  <c:v>33.108600000000486</c:v>
                </c:pt>
                <c:pt idx="598">
                  <c:v>33.108700000000489</c:v>
                </c:pt>
                <c:pt idx="599">
                  <c:v>33.108800000000493</c:v>
                </c:pt>
                <c:pt idx="600">
                  <c:v>33.108900000000496</c:v>
                </c:pt>
                <c:pt idx="601">
                  <c:v>33.109000000000499</c:v>
                </c:pt>
                <c:pt idx="602">
                  <c:v>33.109100000000502</c:v>
                </c:pt>
                <c:pt idx="603">
                  <c:v>33.109200000000506</c:v>
                </c:pt>
                <c:pt idx="604">
                  <c:v>33.109300000000509</c:v>
                </c:pt>
                <c:pt idx="605">
                  <c:v>33.109400000000512</c:v>
                </c:pt>
                <c:pt idx="606">
                  <c:v>33.109500000000516</c:v>
                </c:pt>
                <c:pt idx="607">
                  <c:v>33.109600000000519</c:v>
                </c:pt>
                <c:pt idx="608">
                  <c:v>33.109700000000522</c:v>
                </c:pt>
                <c:pt idx="609">
                  <c:v>33.109800000000526</c:v>
                </c:pt>
                <c:pt idx="610">
                  <c:v>33.109900000000529</c:v>
                </c:pt>
                <c:pt idx="611">
                  <c:v>33.110000000000532</c:v>
                </c:pt>
                <c:pt idx="612">
                  <c:v>33.110100000000536</c:v>
                </c:pt>
                <c:pt idx="613">
                  <c:v>33.110200000000539</c:v>
                </c:pt>
                <c:pt idx="614">
                  <c:v>33.110300000000542</c:v>
                </c:pt>
                <c:pt idx="615">
                  <c:v>33.110400000000546</c:v>
                </c:pt>
                <c:pt idx="616">
                  <c:v>33.110500000000549</c:v>
                </c:pt>
                <c:pt idx="617">
                  <c:v>33.110600000000552</c:v>
                </c:pt>
                <c:pt idx="618">
                  <c:v>33.110700000000556</c:v>
                </c:pt>
                <c:pt idx="619">
                  <c:v>33.110800000000559</c:v>
                </c:pt>
                <c:pt idx="620">
                  <c:v>33.110900000000562</c:v>
                </c:pt>
                <c:pt idx="621">
                  <c:v>33.111000000000566</c:v>
                </c:pt>
                <c:pt idx="622">
                  <c:v>33.111100000000569</c:v>
                </c:pt>
                <c:pt idx="623">
                  <c:v>33.111200000000572</c:v>
                </c:pt>
                <c:pt idx="624">
                  <c:v>33.111300000000575</c:v>
                </c:pt>
                <c:pt idx="625">
                  <c:v>33.111400000000579</c:v>
                </c:pt>
                <c:pt idx="626">
                  <c:v>33.111500000000582</c:v>
                </c:pt>
                <c:pt idx="627">
                  <c:v>33.111600000000585</c:v>
                </c:pt>
                <c:pt idx="628">
                  <c:v>33.111700000000589</c:v>
                </c:pt>
                <c:pt idx="629">
                  <c:v>33.111800000000592</c:v>
                </c:pt>
                <c:pt idx="630">
                  <c:v>33.111900000000595</c:v>
                </c:pt>
                <c:pt idx="631">
                  <c:v>33.112000000000599</c:v>
                </c:pt>
                <c:pt idx="632">
                  <c:v>33.112100000000602</c:v>
                </c:pt>
                <c:pt idx="633">
                  <c:v>33.112200000000605</c:v>
                </c:pt>
                <c:pt idx="634">
                  <c:v>33.112300000000609</c:v>
                </c:pt>
                <c:pt idx="635">
                  <c:v>33.112400000000612</c:v>
                </c:pt>
                <c:pt idx="636">
                  <c:v>33.112500000000615</c:v>
                </c:pt>
                <c:pt idx="637">
                  <c:v>33.112600000000619</c:v>
                </c:pt>
                <c:pt idx="638">
                  <c:v>33.112700000000622</c:v>
                </c:pt>
                <c:pt idx="639">
                  <c:v>33.112800000000625</c:v>
                </c:pt>
                <c:pt idx="640">
                  <c:v>33.112900000000629</c:v>
                </c:pt>
                <c:pt idx="641">
                  <c:v>33.113000000000632</c:v>
                </c:pt>
                <c:pt idx="642">
                  <c:v>33.113100000000635</c:v>
                </c:pt>
                <c:pt idx="643">
                  <c:v>33.113200000000639</c:v>
                </c:pt>
                <c:pt idx="644">
                  <c:v>33.113300000000642</c:v>
                </c:pt>
                <c:pt idx="645">
                  <c:v>33.113400000000645</c:v>
                </c:pt>
                <c:pt idx="646">
                  <c:v>33.113500000000649</c:v>
                </c:pt>
                <c:pt idx="647">
                  <c:v>33.113600000000652</c:v>
                </c:pt>
                <c:pt idx="648">
                  <c:v>33.113700000000655</c:v>
                </c:pt>
                <c:pt idx="649">
                  <c:v>33.113800000000658</c:v>
                </c:pt>
                <c:pt idx="650">
                  <c:v>33.113900000000662</c:v>
                </c:pt>
                <c:pt idx="651">
                  <c:v>33.114000000000665</c:v>
                </c:pt>
                <c:pt idx="652">
                  <c:v>33.114100000000668</c:v>
                </c:pt>
                <c:pt idx="653">
                  <c:v>33.114200000000672</c:v>
                </c:pt>
                <c:pt idx="654">
                  <c:v>33.114300000000675</c:v>
                </c:pt>
                <c:pt idx="655">
                  <c:v>33.114400000000678</c:v>
                </c:pt>
                <c:pt idx="656">
                  <c:v>33.114500000000682</c:v>
                </c:pt>
                <c:pt idx="657">
                  <c:v>33.114600000000685</c:v>
                </c:pt>
                <c:pt idx="658">
                  <c:v>33.114700000000688</c:v>
                </c:pt>
                <c:pt idx="659">
                  <c:v>33.114800000000692</c:v>
                </c:pt>
                <c:pt idx="660">
                  <c:v>33.114900000000695</c:v>
                </c:pt>
                <c:pt idx="661">
                  <c:v>33.115000000000698</c:v>
                </c:pt>
                <c:pt idx="662">
                  <c:v>33.115100000000702</c:v>
                </c:pt>
                <c:pt idx="663">
                  <c:v>33.115200000000705</c:v>
                </c:pt>
                <c:pt idx="664">
                  <c:v>33.115300000000708</c:v>
                </c:pt>
                <c:pt idx="665">
                  <c:v>33.115400000000712</c:v>
                </c:pt>
                <c:pt idx="666">
                  <c:v>33.115500000000715</c:v>
                </c:pt>
                <c:pt idx="667">
                  <c:v>33.115600000000718</c:v>
                </c:pt>
                <c:pt idx="668">
                  <c:v>33.115700000000722</c:v>
                </c:pt>
                <c:pt idx="669">
                  <c:v>33.115800000000725</c:v>
                </c:pt>
                <c:pt idx="670">
                  <c:v>33.115900000000728</c:v>
                </c:pt>
                <c:pt idx="671">
                  <c:v>33.116000000000732</c:v>
                </c:pt>
                <c:pt idx="672">
                  <c:v>33.116100000000735</c:v>
                </c:pt>
                <c:pt idx="673">
                  <c:v>33.116200000000738</c:v>
                </c:pt>
                <c:pt idx="674">
                  <c:v>33.116300000000741</c:v>
                </c:pt>
                <c:pt idx="675">
                  <c:v>33.116400000000745</c:v>
                </c:pt>
                <c:pt idx="676">
                  <c:v>33.116500000000748</c:v>
                </c:pt>
                <c:pt idx="677">
                  <c:v>33.116600000000751</c:v>
                </c:pt>
                <c:pt idx="678">
                  <c:v>33.116700000000755</c:v>
                </c:pt>
                <c:pt idx="679">
                  <c:v>33.116800000000758</c:v>
                </c:pt>
                <c:pt idx="680">
                  <c:v>33.116900000000761</c:v>
                </c:pt>
                <c:pt idx="681">
                  <c:v>33.117000000000765</c:v>
                </c:pt>
                <c:pt idx="682">
                  <c:v>33.117100000000768</c:v>
                </c:pt>
                <c:pt idx="683">
                  <c:v>33.117200000000771</c:v>
                </c:pt>
                <c:pt idx="684">
                  <c:v>33.117300000000775</c:v>
                </c:pt>
                <c:pt idx="685">
                  <c:v>33.117400000000778</c:v>
                </c:pt>
                <c:pt idx="686">
                  <c:v>33.117500000000781</c:v>
                </c:pt>
                <c:pt idx="687">
                  <c:v>33.117600000000785</c:v>
                </c:pt>
                <c:pt idx="688">
                  <c:v>33.117700000000788</c:v>
                </c:pt>
                <c:pt idx="689">
                  <c:v>33.117800000000791</c:v>
                </c:pt>
                <c:pt idx="690">
                  <c:v>33.117900000000795</c:v>
                </c:pt>
                <c:pt idx="691">
                  <c:v>33.118000000000798</c:v>
                </c:pt>
                <c:pt idx="692">
                  <c:v>33.118100000000801</c:v>
                </c:pt>
                <c:pt idx="693">
                  <c:v>33.118200000000805</c:v>
                </c:pt>
                <c:pt idx="694">
                  <c:v>33.118300000000808</c:v>
                </c:pt>
                <c:pt idx="695">
                  <c:v>33.118400000000811</c:v>
                </c:pt>
                <c:pt idx="696">
                  <c:v>33.118500000000815</c:v>
                </c:pt>
                <c:pt idx="697">
                  <c:v>33.118600000000818</c:v>
                </c:pt>
                <c:pt idx="698">
                  <c:v>33.118700000000821</c:v>
                </c:pt>
                <c:pt idx="699">
                  <c:v>33.118800000000824</c:v>
                </c:pt>
                <c:pt idx="700">
                  <c:v>33.118900000000828</c:v>
                </c:pt>
                <c:pt idx="701">
                  <c:v>33.119000000000831</c:v>
                </c:pt>
                <c:pt idx="702">
                  <c:v>33.119100000000834</c:v>
                </c:pt>
                <c:pt idx="703">
                  <c:v>33.119200000000838</c:v>
                </c:pt>
                <c:pt idx="704">
                  <c:v>33.119300000000841</c:v>
                </c:pt>
                <c:pt idx="705">
                  <c:v>33.119400000000844</c:v>
                </c:pt>
                <c:pt idx="706">
                  <c:v>33.119500000000848</c:v>
                </c:pt>
                <c:pt idx="707">
                  <c:v>33.119600000000851</c:v>
                </c:pt>
                <c:pt idx="708">
                  <c:v>33.119700000000854</c:v>
                </c:pt>
                <c:pt idx="709">
                  <c:v>33.119800000000858</c:v>
                </c:pt>
                <c:pt idx="710">
                  <c:v>33.119900000000861</c:v>
                </c:pt>
                <c:pt idx="711">
                  <c:v>33.120000000000864</c:v>
                </c:pt>
                <c:pt idx="712">
                  <c:v>33.120100000000868</c:v>
                </c:pt>
                <c:pt idx="713">
                  <c:v>33.120200000000871</c:v>
                </c:pt>
                <c:pt idx="714">
                  <c:v>33.120300000000874</c:v>
                </c:pt>
                <c:pt idx="715">
                  <c:v>33.120400000000878</c:v>
                </c:pt>
                <c:pt idx="716">
                  <c:v>33.120500000000881</c:v>
                </c:pt>
                <c:pt idx="717">
                  <c:v>33.120600000000884</c:v>
                </c:pt>
                <c:pt idx="718">
                  <c:v>33.120700000000888</c:v>
                </c:pt>
                <c:pt idx="719">
                  <c:v>33.120800000000891</c:v>
                </c:pt>
                <c:pt idx="720">
                  <c:v>33.120900000000894</c:v>
                </c:pt>
                <c:pt idx="721">
                  <c:v>33.121000000000898</c:v>
                </c:pt>
                <c:pt idx="722">
                  <c:v>33.121100000000901</c:v>
                </c:pt>
                <c:pt idx="723">
                  <c:v>33.121200000000904</c:v>
                </c:pt>
                <c:pt idx="724">
                  <c:v>33.121300000000907</c:v>
                </c:pt>
                <c:pt idx="725">
                  <c:v>33.121400000000911</c:v>
                </c:pt>
                <c:pt idx="726">
                  <c:v>33.121500000000914</c:v>
                </c:pt>
                <c:pt idx="727">
                  <c:v>33.121600000000917</c:v>
                </c:pt>
                <c:pt idx="728">
                  <c:v>33.121700000000921</c:v>
                </c:pt>
                <c:pt idx="729">
                  <c:v>33.121800000000924</c:v>
                </c:pt>
                <c:pt idx="730">
                  <c:v>33.121900000000927</c:v>
                </c:pt>
                <c:pt idx="731">
                  <c:v>33.122000000000931</c:v>
                </c:pt>
                <c:pt idx="732">
                  <c:v>33.122100000000934</c:v>
                </c:pt>
                <c:pt idx="733">
                  <c:v>33.122200000000937</c:v>
                </c:pt>
                <c:pt idx="734">
                  <c:v>33.122300000000941</c:v>
                </c:pt>
                <c:pt idx="735">
                  <c:v>33.122400000000944</c:v>
                </c:pt>
                <c:pt idx="736">
                  <c:v>33.122500000000947</c:v>
                </c:pt>
                <c:pt idx="737">
                  <c:v>33.122600000000951</c:v>
                </c:pt>
                <c:pt idx="738">
                  <c:v>33.122700000000954</c:v>
                </c:pt>
                <c:pt idx="739">
                  <c:v>33.122800000000957</c:v>
                </c:pt>
                <c:pt idx="740">
                  <c:v>33.122900000000961</c:v>
                </c:pt>
                <c:pt idx="741">
                  <c:v>33.123000000000964</c:v>
                </c:pt>
                <c:pt idx="742">
                  <c:v>33.123100000000967</c:v>
                </c:pt>
                <c:pt idx="743">
                  <c:v>33.123200000000971</c:v>
                </c:pt>
                <c:pt idx="744">
                  <c:v>33.123300000000974</c:v>
                </c:pt>
                <c:pt idx="745">
                  <c:v>33.123400000000977</c:v>
                </c:pt>
                <c:pt idx="746">
                  <c:v>33.12350000000098</c:v>
                </c:pt>
                <c:pt idx="747">
                  <c:v>33.123600000000984</c:v>
                </c:pt>
                <c:pt idx="748">
                  <c:v>33.123700000000987</c:v>
                </c:pt>
                <c:pt idx="749">
                  <c:v>33.12380000000099</c:v>
                </c:pt>
                <c:pt idx="750">
                  <c:v>33.123900000000994</c:v>
                </c:pt>
                <c:pt idx="751">
                  <c:v>33.124000000000997</c:v>
                </c:pt>
                <c:pt idx="752">
                  <c:v>33.124100000001</c:v>
                </c:pt>
                <c:pt idx="753">
                  <c:v>33.124200000001004</c:v>
                </c:pt>
                <c:pt idx="754">
                  <c:v>33.124300000001007</c:v>
                </c:pt>
                <c:pt idx="755">
                  <c:v>33.12440000000101</c:v>
                </c:pt>
                <c:pt idx="756">
                  <c:v>33.124500000001014</c:v>
                </c:pt>
                <c:pt idx="757">
                  <c:v>33.124600000001017</c:v>
                </c:pt>
                <c:pt idx="758">
                  <c:v>33.12470000000102</c:v>
                </c:pt>
                <c:pt idx="759">
                  <c:v>33.124800000001024</c:v>
                </c:pt>
                <c:pt idx="760">
                  <c:v>33.124900000001027</c:v>
                </c:pt>
                <c:pt idx="761">
                  <c:v>33.12500000000103</c:v>
                </c:pt>
                <c:pt idx="762">
                  <c:v>33.125100000001034</c:v>
                </c:pt>
                <c:pt idx="763">
                  <c:v>33.125200000001037</c:v>
                </c:pt>
                <c:pt idx="764">
                  <c:v>33.12530000000104</c:v>
                </c:pt>
                <c:pt idx="765">
                  <c:v>33.125400000001044</c:v>
                </c:pt>
                <c:pt idx="766">
                  <c:v>33.125500000001047</c:v>
                </c:pt>
                <c:pt idx="767">
                  <c:v>33.12560000000105</c:v>
                </c:pt>
                <c:pt idx="768">
                  <c:v>33.125700000001054</c:v>
                </c:pt>
                <c:pt idx="769">
                  <c:v>33.125800000001057</c:v>
                </c:pt>
                <c:pt idx="770">
                  <c:v>33.12590000000106</c:v>
                </c:pt>
                <c:pt idx="771">
                  <c:v>33.126000000001063</c:v>
                </c:pt>
                <c:pt idx="772">
                  <c:v>33.126100000001067</c:v>
                </c:pt>
                <c:pt idx="773">
                  <c:v>33.12620000000107</c:v>
                </c:pt>
                <c:pt idx="774">
                  <c:v>33.126300000001073</c:v>
                </c:pt>
                <c:pt idx="775">
                  <c:v>33.126400000001077</c:v>
                </c:pt>
                <c:pt idx="776">
                  <c:v>33.12650000000108</c:v>
                </c:pt>
                <c:pt idx="777">
                  <c:v>33.126600000001083</c:v>
                </c:pt>
                <c:pt idx="778">
                  <c:v>33.126700000001087</c:v>
                </c:pt>
                <c:pt idx="779">
                  <c:v>33.12680000000109</c:v>
                </c:pt>
                <c:pt idx="780">
                  <c:v>33.126900000001093</c:v>
                </c:pt>
                <c:pt idx="781">
                  <c:v>33.127000000001097</c:v>
                </c:pt>
                <c:pt idx="782">
                  <c:v>33.1271000000011</c:v>
                </c:pt>
                <c:pt idx="783">
                  <c:v>33.127200000001103</c:v>
                </c:pt>
                <c:pt idx="784">
                  <c:v>33.127300000001107</c:v>
                </c:pt>
                <c:pt idx="785">
                  <c:v>33.12740000000111</c:v>
                </c:pt>
                <c:pt idx="786">
                  <c:v>33.127500000001113</c:v>
                </c:pt>
                <c:pt idx="787">
                  <c:v>33.127600000001117</c:v>
                </c:pt>
                <c:pt idx="788">
                  <c:v>33.12770000000112</c:v>
                </c:pt>
                <c:pt idx="789">
                  <c:v>33.127800000001123</c:v>
                </c:pt>
                <c:pt idx="790">
                  <c:v>33.127900000001127</c:v>
                </c:pt>
                <c:pt idx="791">
                  <c:v>33.12800000000113</c:v>
                </c:pt>
                <c:pt idx="792">
                  <c:v>33.128100000001133</c:v>
                </c:pt>
                <c:pt idx="793">
                  <c:v>33.128200000001137</c:v>
                </c:pt>
                <c:pt idx="794">
                  <c:v>33.12830000000114</c:v>
                </c:pt>
                <c:pt idx="795">
                  <c:v>33.128400000001143</c:v>
                </c:pt>
                <c:pt idx="796">
                  <c:v>33.128500000001146</c:v>
                </c:pt>
                <c:pt idx="797">
                  <c:v>33.12860000000115</c:v>
                </c:pt>
                <c:pt idx="798">
                  <c:v>33.128700000001153</c:v>
                </c:pt>
                <c:pt idx="799">
                  <c:v>33.128800000001156</c:v>
                </c:pt>
                <c:pt idx="800">
                  <c:v>33.12890000000116</c:v>
                </c:pt>
                <c:pt idx="801">
                  <c:v>33.129000000001163</c:v>
                </c:pt>
                <c:pt idx="802">
                  <c:v>33.129100000001166</c:v>
                </c:pt>
                <c:pt idx="803">
                  <c:v>33.12920000000117</c:v>
                </c:pt>
                <c:pt idx="804">
                  <c:v>33.129300000001173</c:v>
                </c:pt>
                <c:pt idx="805">
                  <c:v>33.129400000001176</c:v>
                </c:pt>
                <c:pt idx="806">
                  <c:v>33.12950000000118</c:v>
                </c:pt>
                <c:pt idx="807">
                  <c:v>33.129600000001183</c:v>
                </c:pt>
                <c:pt idx="808">
                  <c:v>33.129700000001186</c:v>
                </c:pt>
                <c:pt idx="809">
                  <c:v>33.12980000000119</c:v>
                </c:pt>
                <c:pt idx="810">
                  <c:v>33.129900000001193</c:v>
                </c:pt>
                <c:pt idx="811">
                  <c:v>33.130000000001196</c:v>
                </c:pt>
                <c:pt idx="812">
                  <c:v>33.1301000000012</c:v>
                </c:pt>
                <c:pt idx="813">
                  <c:v>33.130200000001203</c:v>
                </c:pt>
                <c:pt idx="814">
                  <c:v>33.130300000001206</c:v>
                </c:pt>
                <c:pt idx="815">
                  <c:v>33.13040000000121</c:v>
                </c:pt>
                <c:pt idx="816">
                  <c:v>33.130500000001213</c:v>
                </c:pt>
                <c:pt idx="817">
                  <c:v>33.130600000001216</c:v>
                </c:pt>
                <c:pt idx="818">
                  <c:v>33.13070000000122</c:v>
                </c:pt>
                <c:pt idx="819">
                  <c:v>33.130800000001223</c:v>
                </c:pt>
                <c:pt idx="820">
                  <c:v>33.130900000001226</c:v>
                </c:pt>
                <c:pt idx="821">
                  <c:v>33.131000000001229</c:v>
                </c:pt>
                <c:pt idx="822">
                  <c:v>33.131100000001233</c:v>
                </c:pt>
                <c:pt idx="823">
                  <c:v>33.131200000001236</c:v>
                </c:pt>
                <c:pt idx="824">
                  <c:v>33.131300000001239</c:v>
                </c:pt>
                <c:pt idx="825">
                  <c:v>33.131400000001243</c:v>
                </c:pt>
                <c:pt idx="826">
                  <c:v>33.131500000001246</c:v>
                </c:pt>
                <c:pt idx="827">
                  <c:v>33.131600000001249</c:v>
                </c:pt>
                <c:pt idx="828">
                  <c:v>33.131700000001253</c:v>
                </c:pt>
                <c:pt idx="829">
                  <c:v>33.131800000001256</c:v>
                </c:pt>
                <c:pt idx="830">
                  <c:v>33.131900000001259</c:v>
                </c:pt>
                <c:pt idx="831">
                  <c:v>33.132000000001263</c:v>
                </c:pt>
                <c:pt idx="832">
                  <c:v>33.132100000001266</c:v>
                </c:pt>
                <c:pt idx="833">
                  <c:v>33.132200000001269</c:v>
                </c:pt>
                <c:pt idx="834">
                  <c:v>33.132300000001273</c:v>
                </c:pt>
                <c:pt idx="835">
                  <c:v>33.132400000001276</c:v>
                </c:pt>
                <c:pt idx="836">
                  <c:v>33.132500000001279</c:v>
                </c:pt>
                <c:pt idx="837">
                  <c:v>33.132600000001283</c:v>
                </c:pt>
                <c:pt idx="838">
                  <c:v>33.132700000001286</c:v>
                </c:pt>
                <c:pt idx="839">
                  <c:v>33.132800000001289</c:v>
                </c:pt>
                <c:pt idx="840">
                  <c:v>33.132900000001293</c:v>
                </c:pt>
                <c:pt idx="841">
                  <c:v>33.133000000001296</c:v>
                </c:pt>
                <c:pt idx="842">
                  <c:v>33.133100000001299</c:v>
                </c:pt>
                <c:pt idx="843">
                  <c:v>33.133200000001302</c:v>
                </c:pt>
                <c:pt idx="844">
                  <c:v>33.133300000001306</c:v>
                </c:pt>
                <c:pt idx="845">
                  <c:v>33.133400000001309</c:v>
                </c:pt>
                <c:pt idx="846">
                  <c:v>33.133500000001312</c:v>
                </c:pt>
                <c:pt idx="847">
                  <c:v>33.133600000001316</c:v>
                </c:pt>
                <c:pt idx="848">
                  <c:v>33.133700000001319</c:v>
                </c:pt>
                <c:pt idx="849">
                  <c:v>33.133800000001322</c:v>
                </c:pt>
                <c:pt idx="850">
                  <c:v>33.133900000001326</c:v>
                </c:pt>
                <c:pt idx="851">
                  <c:v>33.134000000001329</c:v>
                </c:pt>
                <c:pt idx="852">
                  <c:v>33.134100000001332</c:v>
                </c:pt>
                <c:pt idx="853">
                  <c:v>33.134200000001336</c:v>
                </c:pt>
                <c:pt idx="854">
                  <c:v>33.134300000001339</c:v>
                </c:pt>
                <c:pt idx="855">
                  <c:v>33.134400000001342</c:v>
                </c:pt>
                <c:pt idx="856">
                  <c:v>33.134500000001346</c:v>
                </c:pt>
                <c:pt idx="857">
                  <c:v>33.134600000001349</c:v>
                </c:pt>
                <c:pt idx="858">
                  <c:v>33.134700000001352</c:v>
                </c:pt>
                <c:pt idx="859">
                  <c:v>33.134800000001356</c:v>
                </c:pt>
                <c:pt idx="860">
                  <c:v>33.134900000001359</c:v>
                </c:pt>
                <c:pt idx="861">
                  <c:v>33.135000000001362</c:v>
                </c:pt>
                <c:pt idx="862">
                  <c:v>33.135100000001366</c:v>
                </c:pt>
                <c:pt idx="863">
                  <c:v>33.135200000001369</c:v>
                </c:pt>
                <c:pt idx="864">
                  <c:v>33.135300000001372</c:v>
                </c:pt>
                <c:pt idx="865">
                  <c:v>33.135400000001376</c:v>
                </c:pt>
                <c:pt idx="866">
                  <c:v>33.135500000001379</c:v>
                </c:pt>
                <c:pt idx="867">
                  <c:v>33.135600000001382</c:v>
                </c:pt>
                <c:pt idx="868">
                  <c:v>33.135700000001385</c:v>
                </c:pt>
                <c:pt idx="869">
                  <c:v>33.135800000001389</c:v>
                </c:pt>
                <c:pt idx="870">
                  <c:v>33.135900000001392</c:v>
                </c:pt>
                <c:pt idx="871">
                  <c:v>33.136000000001395</c:v>
                </c:pt>
                <c:pt idx="872">
                  <c:v>33.136100000001399</c:v>
                </c:pt>
                <c:pt idx="873">
                  <c:v>33.136200000001402</c:v>
                </c:pt>
                <c:pt idx="874">
                  <c:v>33.136300000001405</c:v>
                </c:pt>
                <c:pt idx="875">
                  <c:v>33.136400000001409</c:v>
                </c:pt>
                <c:pt idx="876">
                  <c:v>33.136500000001412</c:v>
                </c:pt>
                <c:pt idx="877">
                  <c:v>33.136600000001415</c:v>
                </c:pt>
                <c:pt idx="878">
                  <c:v>33.136700000001419</c:v>
                </c:pt>
                <c:pt idx="879">
                  <c:v>33.136800000001422</c:v>
                </c:pt>
                <c:pt idx="880">
                  <c:v>33.136900000001425</c:v>
                </c:pt>
                <c:pt idx="881">
                  <c:v>33.137000000001429</c:v>
                </c:pt>
                <c:pt idx="882">
                  <c:v>33.137100000001432</c:v>
                </c:pt>
                <c:pt idx="883">
                  <c:v>33.137200000001435</c:v>
                </c:pt>
                <c:pt idx="884">
                  <c:v>33.137300000001439</c:v>
                </c:pt>
                <c:pt idx="885">
                  <c:v>33.137400000001442</c:v>
                </c:pt>
                <c:pt idx="886">
                  <c:v>33.137500000001445</c:v>
                </c:pt>
                <c:pt idx="887">
                  <c:v>33.137600000001449</c:v>
                </c:pt>
                <c:pt idx="888">
                  <c:v>33.137700000001452</c:v>
                </c:pt>
                <c:pt idx="889">
                  <c:v>33.137800000001455</c:v>
                </c:pt>
                <c:pt idx="890">
                  <c:v>33.137900000001459</c:v>
                </c:pt>
                <c:pt idx="891">
                  <c:v>33.138000000001462</c:v>
                </c:pt>
                <c:pt idx="892">
                  <c:v>33.138100000001465</c:v>
                </c:pt>
                <c:pt idx="893">
                  <c:v>33.138200000001468</c:v>
                </c:pt>
                <c:pt idx="894">
                  <c:v>33.138300000001472</c:v>
                </c:pt>
                <c:pt idx="895">
                  <c:v>33.138400000001475</c:v>
                </c:pt>
                <c:pt idx="896">
                  <c:v>33.138500000001478</c:v>
                </c:pt>
                <c:pt idx="897">
                  <c:v>33.138600000001482</c:v>
                </c:pt>
                <c:pt idx="898">
                  <c:v>33.138700000001485</c:v>
                </c:pt>
                <c:pt idx="899">
                  <c:v>33.138800000001488</c:v>
                </c:pt>
                <c:pt idx="900">
                  <c:v>33.138900000001492</c:v>
                </c:pt>
                <c:pt idx="901">
                  <c:v>33.139000000001495</c:v>
                </c:pt>
                <c:pt idx="902">
                  <c:v>33.139100000001498</c:v>
                </c:pt>
                <c:pt idx="903">
                  <c:v>33.139200000001502</c:v>
                </c:pt>
                <c:pt idx="904">
                  <c:v>33.139300000001505</c:v>
                </c:pt>
                <c:pt idx="905">
                  <c:v>33.139400000001508</c:v>
                </c:pt>
                <c:pt idx="906">
                  <c:v>33.139500000001512</c:v>
                </c:pt>
                <c:pt idx="907">
                  <c:v>33.139600000001515</c:v>
                </c:pt>
                <c:pt idx="908">
                  <c:v>33.139700000001518</c:v>
                </c:pt>
                <c:pt idx="909">
                  <c:v>33.139800000001522</c:v>
                </c:pt>
                <c:pt idx="910">
                  <c:v>33.139900000001525</c:v>
                </c:pt>
                <c:pt idx="911">
                  <c:v>33.140000000001528</c:v>
                </c:pt>
                <c:pt idx="912">
                  <c:v>33.140100000001532</c:v>
                </c:pt>
                <c:pt idx="913">
                  <c:v>33.140200000001535</c:v>
                </c:pt>
                <c:pt idx="914">
                  <c:v>33.140300000001538</c:v>
                </c:pt>
                <c:pt idx="915">
                  <c:v>33.140400000001542</c:v>
                </c:pt>
                <c:pt idx="916">
                  <c:v>33.140500000001545</c:v>
                </c:pt>
                <c:pt idx="917">
                  <c:v>33.140600000001548</c:v>
                </c:pt>
                <c:pt idx="918">
                  <c:v>33.140700000001551</c:v>
                </c:pt>
                <c:pt idx="919">
                  <c:v>33.140800000001555</c:v>
                </c:pt>
                <c:pt idx="920">
                  <c:v>33.140900000001558</c:v>
                </c:pt>
                <c:pt idx="921">
                  <c:v>33.141000000001561</c:v>
                </c:pt>
                <c:pt idx="922">
                  <c:v>33.141100000001565</c:v>
                </c:pt>
                <c:pt idx="923">
                  <c:v>33.141200000001568</c:v>
                </c:pt>
                <c:pt idx="924">
                  <c:v>33.141300000001571</c:v>
                </c:pt>
                <c:pt idx="925">
                  <c:v>33.141400000001575</c:v>
                </c:pt>
                <c:pt idx="926">
                  <c:v>33.141500000001578</c:v>
                </c:pt>
                <c:pt idx="927">
                  <c:v>33.141600000001581</c:v>
                </c:pt>
                <c:pt idx="928">
                  <c:v>33.141700000001585</c:v>
                </c:pt>
                <c:pt idx="929">
                  <c:v>33.141800000001588</c:v>
                </c:pt>
                <c:pt idx="930">
                  <c:v>33.141900000001591</c:v>
                </c:pt>
                <c:pt idx="931">
                  <c:v>33.142000000001595</c:v>
                </c:pt>
                <c:pt idx="932">
                  <c:v>33.142100000001598</c:v>
                </c:pt>
                <c:pt idx="933">
                  <c:v>33.142200000001601</c:v>
                </c:pt>
                <c:pt idx="934">
                  <c:v>33.142300000001605</c:v>
                </c:pt>
                <c:pt idx="935">
                  <c:v>33.142400000001608</c:v>
                </c:pt>
                <c:pt idx="936">
                  <c:v>33.142500000001611</c:v>
                </c:pt>
                <c:pt idx="937">
                  <c:v>33.142600000001615</c:v>
                </c:pt>
                <c:pt idx="938">
                  <c:v>33.142700000001618</c:v>
                </c:pt>
                <c:pt idx="939">
                  <c:v>33.142800000001621</c:v>
                </c:pt>
                <c:pt idx="940">
                  <c:v>33.142900000001625</c:v>
                </c:pt>
                <c:pt idx="941">
                  <c:v>33.143000000001628</c:v>
                </c:pt>
                <c:pt idx="942">
                  <c:v>33.143100000001631</c:v>
                </c:pt>
                <c:pt idx="943">
                  <c:v>33.143200000001634</c:v>
                </c:pt>
                <c:pt idx="944">
                  <c:v>33.143300000001638</c:v>
                </c:pt>
                <c:pt idx="945">
                  <c:v>33.143400000001641</c:v>
                </c:pt>
                <c:pt idx="946">
                  <c:v>33.143500000001644</c:v>
                </c:pt>
                <c:pt idx="947">
                  <c:v>33.143600000001648</c:v>
                </c:pt>
                <c:pt idx="948">
                  <c:v>33.143700000001651</c:v>
                </c:pt>
                <c:pt idx="949">
                  <c:v>33.143800000001654</c:v>
                </c:pt>
                <c:pt idx="950">
                  <c:v>33.143900000001658</c:v>
                </c:pt>
                <c:pt idx="951">
                  <c:v>33.144000000001661</c:v>
                </c:pt>
                <c:pt idx="952">
                  <c:v>33.144100000001664</c:v>
                </c:pt>
                <c:pt idx="953">
                  <c:v>33.144200000001668</c:v>
                </c:pt>
                <c:pt idx="954">
                  <c:v>33.144300000001671</c:v>
                </c:pt>
                <c:pt idx="955">
                  <c:v>33.144400000001674</c:v>
                </c:pt>
                <c:pt idx="956">
                  <c:v>33.144500000001678</c:v>
                </c:pt>
                <c:pt idx="957">
                  <c:v>33.144600000001681</c:v>
                </c:pt>
                <c:pt idx="958">
                  <c:v>33.144700000001684</c:v>
                </c:pt>
                <c:pt idx="959">
                  <c:v>33.144800000001688</c:v>
                </c:pt>
                <c:pt idx="960">
                  <c:v>33.144900000001691</c:v>
                </c:pt>
                <c:pt idx="961">
                  <c:v>33.145000000001694</c:v>
                </c:pt>
                <c:pt idx="962">
                  <c:v>33.145100000001698</c:v>
                </c:pt>
                <c:pt idx="963">
                  <c:v>33.145200000001701</c:v>
                </c:pt>
                <c:pt idx="964">
                  <c:v>33.145300000001704</c:v>
                </c:pt>
                <c:pt idx="965">
                  <c:v>33.145400000001707</c:v>
                </c:pt>
                <c:pt idx="966">
                  <c:v>33.145500000001711</c:v>
                </c:pt>
                <c:pt idx="967">
                  <c:v>33.145600000001714</c:v>
                </c:pt>
                <c:pt idx="968">
                  <c:v>33.145700000001717</c:v>
                </c:pt>
                <c:pt idx="969">
                  <c:v>33.145800000001721</c:v>
                </c:pt>
                <c:pt idx="970">
                  <c:v>33.145900000001724</c:v>
                </c:pt>
                <c:pt idx="971">
                  <c:v>33.146000000001727</c:v>
                </c:pt>
                <c:pt idx="972">
                  <c:v>33.146100000001731</c:v>
                </c:pt>
                <c:pt idx="973">
                  <c:v>33.146200000001734</c:v>
                </c:pt>
                <c:pt idx="974">
                  <c:v>33.146300000001737</c:v>
                </c:pt>
                <c:pt idx="975">
                  <c:v>33.146400000001741</c:v>
                </c:pt>
                <c:pt idx="976">
                  <c:v>33.146500000001744</c:v>
                </c:pt>
                <c:pt idx="977">
                  <c:v>33.146600000001747</c:v>
                </c:pt>
                <c:pt idx="978">
                  <c:v>33.146700000001751</c:v>
                </c:pt>
                <c:pt idx="979">
                  <c:v>33.146800000001754</c:v>
                </c:pt>
                <c:pt idx="980">
                  <c:v>33.146900000001757</c:v>
                </c:pt>
                <c:pt idx="981">
                  <c:v>33.147000000001761</c:v>
                </c:pt>
                <c:pt idx="982">
                  <c:v>33.147100000001764</c:v>
                </c:pt>
                <c:pt idx="983">
                  <c:v>33.147200000001767</c:v>
                </c:pt>
                <c:pt idx="984">
                  <c:v>33.147300000001771</c:v>
                </c:pt>
                <c:pt idx="985">
                  <c:v>33.147400000001774</c:v>
                </c:pt>
                <c:pt idx="986">
                  <c:v>33.147500000001777</c:v>
                </c:pt>
                <c:pt idx="987">
                  <c:v>33.147600000001781</c:v>
                </c:pt>
                <c:pt idx="988">
                  <c:v>33.147700000001784</c:v>
                </c:pt>
                <c:pt idx="989">
                  <c:v>33.147800000001787</c:v>
                </c:pt>
                <c:pt idx="990">
                  <c:v>33.14790000000179</c:v>
                </c:pt>
                <c:pt idx="991">
                  <c:v>33.148000000001794</c:v>
                </c:pt>
                <c:pt idx="992">
                  <c:v>33.148100000001797</c:v>
                </c:pt>
                <c:pt idx="993">
                  <c:v>33.1482000000018</c:v>
                </c:pt>
                <c:pt idx="994">
                  <c:v>33.148300000001804</c:v>
                </c:pt>
                <c:pt idx="995">
                  <c:v>33.148400000001807</c:v>
                </c:pt>
                <c:pt idx="996">
                  <c:v>33.14850000000181</c:v>
                </c:pt>
                <c:pt idx="997">
                  <c:v>33.148600000001814</c:v>
                </c:pt>
                <c:pt idx="998">
                  <c:v>33.148700000001817</c:v>
                </c:pt>
                <c:pt idx="999">
                  <c:v>33.14880000000182</c:v>
                </c:pt>
                <c:pt idx="1000">
                  <c:v>33.148900000001824</c:v>
                </c:pt>
              </c:numCache>
            </c:numRef>
          </c:xVal>
          <c:yVal>
            <c:numRef>
              <c:f>Calculs!$AE$4:$AE$1004</c:f>
              <c:numCache>
                <c:formatCode>0</c:formatCode>
                <c:ptCount val="1001"/>
                <c:pt idx="0">
                  <c:v>0</c:v>
                </c:pt>
                <c:pt idx="1">
                  <c:v>7.9588567858292995E-4</c:v>
                </c:pt>
                <c:pt idx="2">
                  <c:v>6.723482670051845E-3</c:v>
                </c:pt>
                <c:pt idx="3">
                  <c:v>2.3479711239899365E-2</c:v>
                </c:pt>
                <c:pt idx="4">
                  <c:v>5.2995906566015188E-2</c:v>
                </c:pt>
                <c:pt idx="5">
                  <c:v>9.4820262845367348E-2</c:v>
                </c:pt>
                <c:pt idx="6">
                  <c:v>0.14863784731109492</c:v>
                </c:pt>
                <c:pt idx="7">
                  <c:v>0.21440886054895564</c:v>
                </c:pt>
                <c:pt idx="8">
                  <c:v>0.29223128024106937</c:v>
                </c:pt>
                <c:pt idx="9">
                  <c:v>0.3822031479999124</c:v>
                </c:pt>
                <c:pt idx="10">
                  <c:v>0.48442256793887617</c:v>
                </c:pt>
                <c:pt idx="11">
                  <c:v>0.59897339643303338</c:v>
                </c:pt>
                <c:pt idx="12">
                  <c:v>0.72591089482237248</c:v>
                </c:pt>
                <c:pt idx="13">
                  <c:v>0.86527598194740496</c:v>
                </c:pt>
                <c:pt idx="14">
                  <c:v>1.0171095238995609</c:v>
                </c:pt>
                <c:pt idx="15">
                  <c:v>1.1814523328906639</c:v>
                </c:pt>
                <c:pt idx="16">
                  <c:v>1.3583451661181094</c:v>
                </c:pt>
                <c:pt idx="17">
                  <c:v>1.5478287246258078</c:v>
                </c:pt>
                <c:pt idx="18">
                  <c:v>1.7499436521609577</c:v>
                </c:pt>
                <c:pt idx="19">
                  <c:v>1.9647305340267165</c:v>
                </c:pt>
                <c:pt idx="20">
                  <c:v>2.1922298959308328</c:v>
                </c:pt>
                <c:pt idx="21">
                  <c:v>2.4324764613328229</c:v>
                </c:pt>
                <c:pt idx="22">
                  <c:v>2.6854933941468113</c:v>
                </c:pt>
                <c:pt idx="23">
                  <c:v>2.9512980178484214</c:v>
                </c:pt>
                <c:pt idx="24">
                  <c:v>3.2299075494554561</c:v>
                </c:pt>
                <c:pt idx="25">
                  <c:v>3.5213390988348241</c:v>
                </c:pt>
                <c:pt idx="26">
                  <c:v>3.8256096680122686</c:v>
                </c:pt>
                <c:pt idx="27">
                  <c:v>4.1427361504849607</c:v>
                </c:pt>
                <c:pt idx="28">
                  <c:v>4.4727205299112907</c:v>
                </c:pt>
                <c:pt idx="29">
                  <c:v>4.8155640809976488</c:v>
                </c:pt>
                <c:pt idx="30">
                  <c:v>5.1712821766383108</c:v>
                </c:pt>
                <c:pt idx="31">
                  <c:v>5.5398901022790819</c:v>
                </c:pt>
                <c:pt idx="32">
                  <c:v>5.9214030636097714</c:v>
                </c:pt>
                <c:pt idx="33">
                  <c:v>6.31583618389429</c:v>
                </c:pt>
                <c:pt idx="34">
                  <c:v>6.7232045014900033</c:v>
                </c:pt>
                <c:pt idx="35">
                  <c:v>7.1435229675339738</c:v>
                </c:pt>
                <c:pt idx="36">
                  <c:v>7.5768064437770102</c:v>
                </c:pt>
                <c:pt idx="37">
                  <c:v>8.0230697005491916</c:v>
                </c:pt>
                <c:pt idx="38">
                  <c:v>8.4823274148428052</c:v>
                </c:pt>
                <c:pt idx="39">
                  <c:v>8.9545941685005399</c:v>
                </c:pt>
                <c:pt idx="40">
                  <c:v>9.4398844464983878</c:v>
                </c:pt>
                <c:pt idx="41">
                  <c:v>9.938208170198962</c:v>
                </c:pt>
                <c:pt idx="42">
                  <c:v>10.449566220794946</c:v>
                </c:pt>
                <c:pt idx="43">
                  <c:v>10.973954889047857</c:v>
                </c:pt>
                <c:pt idx="44">
                  <c:v>11.511370335191106</c:v>
                </c:pt>
                <c:pt idx="45">
                  <c:v>12.061808587999941</c:v>
                </c:pt>
                <c:pt idx="46">
                  <c:v>12.625265543925277</c:v>
                </c:pt>
                <c:pt idx="47">
                  <c:v>13.20173696628637</c:v>
                </c:pt>
                <c:pt idx="48">
                  <c:v>13.79121848451787</c:v>
                </c:pt>
                <c:pt idx="49">
                  <c:v>14.393705593467239</c:v>
                </c:pt>
                <c:pt idx="50">
                  <c:v>15.009193652738984</c:v>
                </c:pt>
                <c:pt idx="51">
                  <c:v>15.637677886082503</c:v>
                </c:pt>
                <c:pt idx="52">
                  <c:v>16.279153380820645</c:v>
                </c:pt>
                <c:pt idx="53">
                  <c:v>16.933615087316426</c:v>
                </c:pt>
                <c:pt idx="54">
                  <c:v>17.601057818475532</c:v>
                </c:pt>
                <c:pt idx="55">
                  <c:v>18.28147624928253</c:v>
                </c:pt>
                <c:pt idx="56">
                  <c:v>18.97486491636883</c:v>
                </c:pt>
                <c:pt idx="57">
                  <c:v>19.681218217610695</c:v>
                </c:pt>
                <c:pt idx="58">
                  <c:v>20.400530411755685</c:v>
                </c:pt>
                <c:pt idx="59">
                  <c:v>21.132795618076113</c:v>
                </c:pt>
                <c:pt idx="60">
                  <c:v>21.878007816048164</c:v>
                </c:pt>
                <c:pt idx="61">
                  <c:v>22.636160845055535</c:v>
                </c:pt>
                <c:pt idx="62">
                  <c:v>23.407248404116402</c:v>
                </c:pt>
                <c:pt idx="63">
                  <c:v>24.191264051632764</c:v>
                </c:pt>
                <c:pt idx="64">
                  <c:v>24.988201205161229</c:v>
                </c:pt>
                <c:pt idx="65">
                  <c:v>25.798053141204328</c:v>
                </c:pt>
                <c:pt idx="66">
                  <c:v>26.620812995021634</c:v>
                </c:pt>
                <c:pt idx="67">
                  <c:v>27.456473760459918</c:v>
                </c:pt>
                <c:pt idx="68">
                  <c:v>28.305028289801662</c:v>
                </c:pt>
                <c:pt idx="69">
                  <c:v>29.166469293631312</c:v>
                </c:pt>
                <c:pt idx="70">
                  <c:v>30.040789340718703</c:v>
                </c:pt>
                <c:pt idx="71">
                  <c:v>30.927980857919081</c:v>
                </c:pt>
                <c:pt idx="72">
                  <c:v>31.828036130089266</c:v>
                </c:pt>
                <c:pt idx="73">
                  <c:v>32.740947300019428</c:v>
                </c:pt>
                <c:pt idx="74">
                  <c:v>33.666706368380119</c:v>
                </c:pt>
                <c:pt idx="75">
                  <c:v>34.605305193684053</c:v>
                </c:pt>
                <c:pt idx="76">
                  <c:v>35.556735492262376</c:v>
                </c:pt>
                <c:pt idx="77">
                  <c:v>36.520988838254929</c:v>
                </c:pt>
                <c:pt idx="78">
                  <c:v>37.498056663614292</c:v>
                </c:pt>
                <c:pt idx="79">
                  <c:v>38.487930258123235</c:v>
                </c:pt>
                <c:pt idx="80">
                  <c:v>39.490600769425271</c:v>
                </c:pt>
                <c:pt idx="81">
                  <c:v>40.506054671291871</c:v>
                </c:pt>
                <c:pt idx="82">
                  <c:v>41.534269223564927</c:v>
                </c:pt>
                <c:pt idx="83">
                  <c:v>42.575216993653761</c:v>
                </c:pt>
                <c:pt idx="84">
                  <c:v>43.628870386697834</c:v>
                </c:pt>
                <c:pt idx="85">
                  <c:v>44.69520164629246</c:v>
                </c:pt>
                <c:pt idx="86">
                  <c:v>45.774182855228148</c:v>
                </c:pt>
                <c:pt idx="87">
                  <c:v>46.865785936243235</c:v>
                </c:pt>
                <c:pt idx="88">
                  <c:v>47.969982652789454</c:v>
                </c:pt>
                <c:pt idx="89">
                  <c:v>49.086744609810168</c:v>
                </c:pt>
                <c:pt idx="90">
                  <c:v>50.216043254530938</c:v>
                </c:pt>
                <c:pt idx="91">
                  <c:v>51.357847874866614</c:v>
                </c:pt>
                <c:pt idx="92">
                  <c:v>52.512123594452866</c:v>
                </c:pt>
                <c:pt idx="93">
                  <c:v>53.678833371876017</c:v>
                </c:pt>
                <c:pt idx="94">
                  <c:v>54.857940003457699</c:v>
                </c:pt>
                <c:pt idx="95">
                  <c:v>56.049406124415476</c:v>
                </c:pt>
                <c:pt idx="96">
                  <c:v>57.253194210034358</c:v>
                </c:pt>
                <c:pt idx="97">
                  <c:v>58.46926657684886</c:v>
                </c:pt>
                <c:pt idx="98">
                  <c:v>59.697585383835332</c:v>
                </c:pt>
                <c:pt idx="99">
                  <c:v>60.938112633614253</c:v>
                </c:pt>
                <c:pt idx="100">
                  <c:v>62.190810173662278</c:v>
                </c:pt>
                <c:pt idx="101">
                  <c:v>63.455639377226447</c:v>
                </c:pt>
                <c:pt idx="102">
                  <c:v>64.732560823757723</c:v>
                </c:pt>
                <c:pt idx="103">
                  <c:v>66.02153461991719</c:v>
                </c:pt>
                <c:pt idx="104">
                  <c:v>67.322520721106642</c:v>
                </c:pt>
                <c:pt idx="105">
                  <c:v>68.635478932776749</c:v>
                </c:pt>
                <c:pt idx="106">
                  <c:v>69.960368911743316</c:v>
                </c:pt>
                <c:pt idx="107">
                  <c:v>71.297150167511461</c:v>
                </c:pt>
                <c:pt idx="108">
                  <c:v>72.6457820636073</c:v>
                </c:pt>
                <c:pt idx="109">
                  <c:v>74.006223818917107</c:v>
                </c:pt>
                <c:pt idx="110">
                  <c:v>75.378434509033582</c:v>
                </c:pt>
                <c:pt idx="111">
                  <c:v>76.762376755823098</c:v>
                </c:pt>
                <c:pt idx="112">
                  <c:v>78.158020422049944</c:v>
                </c:pt>
                <c:pt idx="113">
                  <c:v>79.56533892965804</c:v>
                </c:pt>
                <c:pt idx="114">
                  <c:v>80.984305572728815</c:v>
                </c:pt>
                <c:pt idx="115">
                  <c:v>82.414893518300389</c:v>
                </c:pt>
                <c:pt idx="116">
                  <c:v>83.85707580719334</c:v>
                </c:pt>
                <c:pt idx="117">
                  <c:v>85.310825354843004</c:v>
                </c:pt>
                <c:pt idx="118">
                  <c:v>86.776114952138201</c:v>
                </c:pt>
                <c:pt idx="119">
                  <c:v>88.252917266266223</c:v>
                </c:pt>
                <c:pt idx="120">
                  <c:v>89.741204841563871</c:v>
                </c:pt>
                <c:pt idx="121">
                  <c:v>91.24094398246018</c:v>
                </c:pt>
                <c:pt idx="122">
                  <c:v>92.752088628881836</c:v>
                </c:pt>
                <c:pt idx="123">
                  <c:v>94.274586468149366</c:v>
                </c:pt>
                <c:pt idx="124">
                  <c:v>95.808385054901692</c:v>
                </c:pt>
                <c:pt idx="125">
                  <c:v>97.353431812934318</c:v>
                </c:pt>
                <c:pt idx="126">
                  <c:v>98.90967403704019</c:v>
                </c:pt>
                <c:pt idx="127">
                  <c:v>100.47705889485302</c:v>
                </c:pt>
                <c:pt idx="128">
                  <c:v>102.05553342869275</c:v>
                </c:pt>
                <c:pt idx="129">
                  <c:v>103.6450445574131</c:v>
                </c:pt>
                <c:pt idx="130">
                  <c:v>105.2455390782506</c:v>
                </c:pt>
                <c:pt idx="131">
                  <c:v>106.85696206683457</c:v>
                </c:pt>
                <c:pt idx="132">
                  <c:v>108.47925527552694</c:v>
                </c:pt>
                <c:pt idx="133">
                  <c:v>110.11235873586841</c:v>
                </c:pt>
                <c:pt idx="134">
                  <c:v>111.75621236283401</c:v>
                </c:pt>
                <c:pt idx="135">
                  <c:v>113.41075595696113</c:v>
                </c:pt>
                <c:pt idx="136">
                  <c:v>115.07592920647645</c:v>
                </c:pt>
                <c:pt idx="137">
                  <c:v>116.7516716894214</c:v>
                </c:pt>
                <c:pt idx="138">
                  <c:v>118.43792287577593</c:v>
                </c:pt>
                <c:pt idx="139">
                  <c:v>120.13462212958029</c:v>
                </c:pt>
                <c:pt idx="140">
                  <c:v>121.84170871105466</c:v>
                </c:pt>
                <c:pt idx="141">
                  <c:v>123.55910262424158</c:v>
                </c:pt>
                <c:pt idx="142">
                  <c:v>125.2866854487269</c:v>
                </c:pt>
                <c:pt idx="143">
                  <c:v>127.02431948877086</c:v>
                </c:pt>
                <c:pt idx="144">
                  <c:v>128.77186694042001</c:v>
                </c:pt>
                <c:pt idx="145">
                  <c:v>130.52918989772519</c:v>
                </c:pt>
                <c:pt idx="146">
                  <c:v>132.29615035892041</c:v>
                </c:pt>
                <c:pt idx="147">
                  <c:v>134.07261023256203</c:v>
                </c:pt>
                <c:pt idx="148">
                  <c:v>135.85843134362693</c:v>
                </c:pt>
                <c:pt idx="149">
                  <c:v>137.65347543956926</c:v>
                </c:pt>
                <c:pt idx="150">
                  <c:v>139.45760419633461</c:v>
                </c:pt>
                <c:pt idx="151">
                  <c:v>141.27067922433088</c:v>
                </c:pt>
                <c:pt idx="152">
                  <c:v>143.09256207435516</c:v>
                </c:pt>
                <c:pt idx="153">
                  <c:v>144.92311424347562</c:v>
                </c:pt>
                <c:pt idx="154">
                  <c:v>146.7621971808679</c:v>
                </c:pt>
                <c:pt idx="155">
                  <c:v>148.609672293605</c:v>
                </c:pt>
                <c:pt idx="156">
                  <c:v>150.46531023282532</c:v>
                </c:pt>
                <c:pt idx="157">
                  <c:v>152.32870015962811</c:v>
                </c:pt>
                <c:pt idx="158">
                  <c:v>154.19934053211031</c:v>
                </c:pt>
                <c:pt idx="159">
                  <c:v>156.07672993311658</c:v>
                </c:pt>
                <c:pt idx="160">
                  <c:v>157.96036711654375</c:v>
                </c:pt>
                <c:pt idx="161">
                  <c:v>159.84963571845012</c:v>
                </c:pt>
                <c:pt idx="162">
                  <c:v>161.7436890236242</c:v>
                </c:pt>
                <c:pt idx="163">
                  <c:v>163.64157656115606</c:v>
                </c:pt>
                <c:pt idx="164">
                  <c:v>165.54237068465417</c:v>
                </c:pt>
                <c:pt idx="165">
                  <c:v>167.44526586288265</c:v>
                </c:pt>
                <c:pt idx="166">
                  <c:v>169.34967783643003</c:v>
                </c:pt>
                <c:pt idx="167">
                  <c:v>171.25504948739027</c:v>
                </c:pt>
                <c:pt idx="168">
                  <c:v>173.16071751107907</c:v>
                </c:pt>
                <c:pt idx="169">
                  <c:v>175.06582340779886</c:v>
                </c:pt>
                <c:pt idx="170">
                  <c:v>176.96928528637369</c:v>
                </c:pt>
                <c:pt idx="171">
                  <c:v>178.87034592471116</c:v>
                </c:pt>
                <c:pt idx="172">
                  <c:v>180.76881683826667</c:v>
                </c:pt>
                <c:pt idx="173">
                  <c:v>182.66470267874479</c:v>
                </c:pt>
                <c:pt idx="174">
                  <c:v>184.55800808201212</c:v>
                </c:pt>
                <c:pt idx="175">
                  <c:v>186.44873766816829</c:v>
                </c:pt>
                <c:pt idx="176">
                  <c:v>188.33689604161651</c:v>
                </c:pt>
                <c:pt idx="177">
                  <c:v>190.22248779113377</c:v>
                </c:pt>
                <c:pt idx="178">
                  <c:v>192.10551748994061</c:v>
                </c:pt>
                <c:pt idx="179">
                  <c:v>193.98598969577048</c:v>
                </c:pt>
                <c:pt idx="180">
                  <c:v>195.86390895093882</c:v>
                </c:pt>
                <c:pt idx="181">
                  <c:v>197.73927978241153</c:v>
                </c:pt>
                <c:pt idx="182">
                  <c:v>199.61210670187336</c:v>
                </c:pt>
                <c:pt idx="183">
                  <c:v>201.4823942057956</c:v>
                </c:pt>
                <c:pt idx="184">
                  <c:v>203.35014677550359</c:v>
                </c:pt>
                <c:pt idx="185">
                  <c:v>205.2153688772438</c:v>
                </c:pt>
                <c:pt idx="186">
                  <c:v>207.07806496225055</c:v>
                </c:pt>
                <c:pt idx="187">
                  <c:v>208.93823946681229</c:v>
                </c:pt>
                <c:pt idx="188">
                  <c:v>210.79589681233759</c:v>
                </c:pt>
                <c:pt idx="189">
                  <c:v>212.65104140542067</c:v>
                </c:pt>
                <c:pt idx="190">
                  <c:v>214.50367763790672</c:v>
                </c:pt>
                <c:pt idx="191">
                  <c:v>216.35380988695664</c:v>
                </c:pt>
                <c:pt idx="192">
                  <c:v>218.20144251511167</c:v>
                </c:pt>
                <c:pt idx="193">
                  <c:v>220.04657987035739</c:v>
                </c:pt>
                <c:pt idx="194">
                  <c:v>221.88922628618761</c:v>
                </c:pt>
                <c:pt idx="195">
                  <c:v>223.72938608166768</c:v>
                </c:pt>
                <c:pt idx="196">
                  <c:v>225.56706356149772</c:v>
                </c:pt>
                <c:pt idx="197">
                  <c:v>227.40226301607521</c:v>
                </c:pt>
                <c:pt idx="198">
                  <c:v>229.23498872155744</c:v>
                </c:pt>
                <c:pt idx="199">
                  <c:v>231.06524493992353</c:v>
                </c:pt>
                <c:pt idx="200">
                  <c:v>232.89303591903609</c:v>
                </c:pt>
                <c:pt idx="201">
                  <c:v>251.03568551352203</c:v>
                </c:pt>
                <c:pt idx="202">
                  <c:v>268.93453630754851</c:v>
                </c:pt>
                <c:pt idx="203">
                  <c:v>286.59370106166131</c:v>
                </c:pt>
                <c:pt idx="204">
                  <c:v>304.01715932046432</c:v>
                </c:pt>
                <c:pt idx="205">
                  <c:v>321.20876302032707</c:v>
                </c:pt>
                <c:pt idx="206">
                  <c:v>338.1722418002347</c:v>
                </c:pt>
                <c:pt idx="207">
                  <c:v>354.91120803451514</c:v>
                </c:pt>
                <c:pt idx="208">
                  <c:v>371.42916160480758</c:v>
                </c:pt>
                <c:pt idx="209">
                  <c:v>387.72949442737774</c:v>
                </c:pt>
                <c:pt idx="210">
                  <c:v>403.81549475073143</c:v>
                </c:pt>
                <c:pt idx="211">
                  <c:v>419.69035123741787</c:v>
                </c:pt>
                <c:pt idx="212">
                  <c:v>435.35715684293831</c:v>
                </c:pt>
                <c:pt idx="213">
                  <c:v>450.81891250377925</c:v>
                </c:pt>
                <c:pt idx="214">
                  <c:v>466.07853064576176</c:v>
                </c:pt>
                <c:pt idx="215">
                  <c:v>481.13883852313722</c:v>
                </c:pt>
                <c:pt idx="216">
                  <c:v>496.00258139815611</c:v>
                </c:pt>
                <c:pt idx="217">
                  <c:v>510.67242557018722</c:v>
                </c:pt>
                <c:pt idx="218">
                  <c:v>525.15096126286517</c:v>
                </c:pt>
                <c:pt idx="219">
                  <c:v>539.44070537718778</c:v>
                </c:pt>
                <c:pt idx="220">
                  <c:v>553.54410411797232</c:v>
                </c:pt>
                <c:pt idx="221">
                  <c:v>567.46353550060269</c:v>
                </c:pt>
                <c:pt idx="222">
                  <c:v>581.20131174455946</c:v>
                </c:pt>
                <c:pt idx="223">
                  <c:v>594.75968155981388</c:v>
                </c:pt>
                <c:pt idx="224">
                  <c:v>608.14083233178872</c:v>
                </c:pt>
                <c:pt idx="225">
                  <c:v>621.34689221023393</c:v>
                </c:pt>
                <c:pt idx="226">
                  <c:v>634.3799321070386</c:v>
                </c:pt>
                <c:pt idx="227">
                  <c:v>647.24196760769382</c:v>
                </c:pt>
                <c:pt idx="228">
                  <c:v>659.9349608008381</c:v>
                </c:pt>
                <c:pt idx="229">
                  <c:v>672.46082203005176</c:v>
                </c:pt>
                <c:pt idx="230">
                  <c:v>684.821411571819</c:v>
                </c:pt>
                <c:pt idx="231">
                  <c:v>697.01854124334807</c:v>
                </c:pt>
                <c:pt idx="232">
                  <c:v>709.05397594372312</c:v>
                </c:pt>
                <c:pt idx="233">
                  <c:v>720.92943513166256</c:v>
                </c:pt>
                <c:pt idx="234">
                  <c:v>732.64659424296929</c:v>
                </c:pt>
                <c:pt idx="235">
                  <c:v>744.20708605058508</c:v>
                </c:pt>
                <c:pt idx="236">
                  <c:v>755.61250196999583</c:v>
                </c:pt>
                <c:pt idx="237">
                  <c:v>766.86439331258123</c:v>
                </c:pt>
                <c:pt idx="238">
                  <c:v>777.9642724893597</c:v>
                </c:pt>
                <c:pt idx="239">
                  <c:v>788.91361416744326</c:v>
                </c:pt>
                <c:pt idx="240">
                  <c:v>799.71385638139236</c:v>
                </c:pt>
                <c:pt idx="241">
                  <c:v>810.36640160154025</c:v>
                </c:pt>
                <c:pt idx="242">
                  <c:v>820.87261776124831</c:v>
                </c:pt>
                <c:pt idx="243">
                  <c:v>831.23383924494556</c:v>
                </c:pt>
                <c:pt idx="244">
                  <c:v>841.45136783871135</c:v>
                </c:pt>
                <c:pt idx="245">
                  <c:v>851.52647364506561</c:v>
                </c:pt>
                <c:pt idx="246">
                  <c:v>861.46039596354501</c:v>
                </c:pt>
                <c:pt idx="247">
                  <c:v>871.2543441385626</c:v>
                </c:pt>
                <c:pt idx="248">
                  <c:v>880.90949837597054</c:v>
                </c:pt>
                <c:pt idx="249">
                  <c:v>890.42701052967459</c:v>
                </c:pt>
                <c:pt idx="250">
                  <c:v>899.80800485958002</c:v>
                </c:pt>
                <c:pt idx="251">
                  <c:v>909.05357876208473</c:v>
                </c:pt>
                <c:pt idx="252">
                  <c:v>918.16480347427557</c:v>
                </c:pt>
                <c:pt idx="253">
                  <c:v>927.14272475292569</c:v>
                </c:pt>
                <c:pt idx="254">
                  <c:v>935.98836352933756</c:v>
                </c:pt>
                <c:pt idx="255">
                  <c:v>944.70271654102601</c:v>
                </c:pt>
                <c:pt idx="256">
                  <c:v>953.28675694118658</c:v>
                </c:pt>
                <c:pt idx="257">
                  <c:v>961.74143488685024</c:v>
                </c:pt>
                <c:pt idx="258">
                  <c:v>970.06767810658221</c:v>
                </c:pt>
                <c:pt idx="259">
                  <c:v>978.26639244854175</c:v>
                </c:pt>
                <c:pt idx="260">
                  <c:v>986.33846240968307</c:v>
                </c:pt>
                <c:pt idx="261">
                  <c:v>994.28475164683925</c:v>
                </c:pt>
                <c:pt idx="262">
                  <c:v>1002.1061034703989</c:v>
                </c:pt>
                <c:pt idx="263">
                  <c:v>1009.8033413212518</c:v>
                </c:pt>
                <c:pt idx="264">
                  <c:v>1017.3772692316491</c:v>
                </c:pt>
                <c:pt idx="265">
                  <c:v>1024.8286722705955</c:v>
                </c:pt>
                <c:pt idx="266">
                  <c:v>1032.1583169743626</c:v>
                </c:pt>
                <c:pt idx="267">
                  <c:v>1039.3669517626879</c:v>
                </c:pt>
                <c:pt idx="268">
                  <c:v>1046.4553073411971</c:v>
                </c:pt>
                <c:pt idx="269">
                  <c:v>1053.4240970905671</c:v>
                </c:pt>
                <c:pt idx="270">
                  <c:v>1060.2740174429241</c:v>
                </c:pt>
                <c:pt idx="271">
                  <c:v>1067.0057482459481</c:v>
                </c:pt>
                <c:pt idx="272">
                  <c:v>1073.6199531151399</c:v>
                </c:pt>
                <c:pt idx="273">
                  <c:v>1080.1172797746847</c:v>
                </c:pt>
                <c:pt idx="274">
                  <c:v>1086.4983603873304</c:v>
                </c:pt>
                <c:pt idx="275">
                  <c:v>1092.7638118736825</c:v>
                </c:pt>
                <c:pt idx="276">
                  <c:v>1098.9142362213017</c:v>
                </c:pt>
                <c:pt idx="277">
                  <c:v>1104.9502207839757</c:v>
                </c:pt>
                <c:pt idx="278">
                  <c:v>1110.872338571523</c:v>
                </c:pt>
                <c:pt idx="279">
                  <c:v>1116.6811485304743</c:v>
                </c:pt>
                <c:pt idx="280">
                  <c:v>1122.3771958159673</c:v>
                </c:pt>
                <c:pt idx="281">
                  <c:v>1127.9610120551733</c:v>
                </c:pt>
                <c:pt idx="282">
                  <c:v>1133.433115602573</c:v>
                </c:pt>
                <c:pt idx="283">
                  <c:v>1138.7940117873825</c:v>
                </c:pt>
                <c:pt idx="284">
                  <c:v>1144.0441931534258</c:v>
                </c:pt>
                <c:pt idx="285">
                  <c:v>1149.1841396917414</c:v>
                </c:pt>
                <c:pt idx="286">
                  <c:v>1154.2143190662048</c:v>
                </c:pt>
                <c:pt idx="287">
                  <c:v>1159.135186832443</c:v>
                </c:pt>
                <c:pt idx="288">
                  <c:v>1163.9471866503125</c:v>
                </c:pt>
                <c:pt idx="289">
                  <c:v>1168.6507504902074</c:v>
                </c:pt>
                <c:pt idx="290">
                  <c:v>1173.2462988334648</c:v>
                </c:pt>
                <c:pt idx="291">
                  <c:v>1177.7342408671295</c:v>
                </c:pt>
                <c:pt idx="292">
                  <c:v>1182.1149746733431</c:v>
                </c:pt>
                <c:pt idx="293">
                  <c:v>1186.3888874136219</c:v>
                </c:pt>
                <c:pt idx="294">
                  <c:v>1190.5563555082904</c:v>
                </c:pt>
                <c:pt idx="295">
                  <c:v>1194.6177448113428</c:v>
                </c:pt>
                <c:pt idx="296">
                  <c:v>1198.5734107810081</c:v>
                </c:pt>
                <c:pt idx="297">
                  <c:v>1202.4236986463043</c:v>
                </c:pt>
                <c:pt idx="298">
                  <c:v>1206.1689435698759</c:v>
                </c:pt>
                <c:pt idx="299">
                  <c:v>1209.8094708074188</c:v>
                </c:pt>
                <c:pt idx="300">
                  <c:v>1213.3455958640129</c:v>
                </c:pt>
                <c:pt idx="301">
                  <c:v>1216.7776246476992</c:v>
                </c:pt>
                <c:pt idx="302">
                  <c:v>1220.1058536206554</c:v>
                </c:pt>
                <c:pt idx="303">
                  <c:v>1223.330569948349</c:v>
                </c:pt>
                <c:pt idx="304">
                  <c:v>1226.4520516470727</c:v>
                </c:pt>
                <c:pt idx="305">
                  <c:v>1229.4705677302945</c:v>
                </c:pt>
                <c:pt idx="306">
                  <c:v>1232.3863783542913</c:v>
                </c:pt>
                <c:pt idx="307">
                  <c:v>1235.1997349635717</c:v>
                </c:pt>
                <c:pt idx="308">
                  <c:v>1237.9108804366369</c:v>
                </c:pt>
                <c:pt idx="309">
                  <c:v>1240.5200492326746</c:v>
                </c:pt>
                <c:pt idx="310">
                  <c:v>1243.0274675398355</c:v>
                </c:pt>
                <c:pt idx="311">
                  <c:v>1245.4333534257978</c:v>
                </c:pt>
                <c:pt idx="312">
                  <c:v>1247.7379169913879</c:v>
                </c:pt>
                <c:pt idx="313">
                  <c:v>1249.9413605280918</c:v>
                </c:pt>
                <c:pt idx="314">
                  <c:v>1252.0438786803609</c:v>
                </c:pt>
                <c:pt idx="315">
                  <c:v>1254.0456586136913</c:v>
                </c:pt>
                <c:pt idx="316">
                  <c:v>1255.9468801895273</c:v>
                </c:pt>
                <c:pt idx="317">
                  <c:v>1257.7477161481102</c:v>
                </c:pt>
                <c:pt idx="318">
                  <c:v>1259.448332300469</c:v>
                </c:pt>
                <c:pt idx="319">
                  <c:v>1261.0488877308003</c:v>
                </c:pt>
                <c:pt idx="320">
                  <c:v>1262.549535010538</c:v>
                </c:pt>
                <c:pt idx="321">
                  <c:v>1263.9504204254413</c:v>
                </c:pt>
                <c:pt idx="322">
                  <c:v>1265.2516842170298</c:v>
                </c:pt>
                <c:pt idx="323">
                  <c:v>1266.4534608396687</c:v>
                </c:pt>
                <c:pt idx="324">
                  <c:v>1267.5558792345321</c:v>
                </c:pt>
                <c:pt idx="325">
                  <c:v>1268.5590631215575</c:v>
                </c:pt>
                <c:pt idx="326">
                  <c:v>1269.4631313103207</c:v>
                </c:pt>
                <c:pt idx="327">
                  <c:v>1270.2681980305276</c:v>
                </c:pt>
                <c:pt idx="328">
                  <c:v>1270.9743732825063</c:v>
                </c:pt>
                <c:pt idx="329">
                  <c:v>1271.581763207711</c:v>
                </c:pt>
                <c:pt idx="330">
                  <c:v>1272.0904704788122</c:v>
                </c:pt>
                <c:pt idx="331">
                  <c:v>1272.5005947084585</c:v>
                </c:pt>
                <c:pt idx="332">
                  <c:v>1272.8122328752654</c:v>
                </c:pt>
                <c:pt idx="333">
                  <c:v>1273.0254797650553</c:v>
                </c:pt>
                <c:pt idx="334">
                  <c:v>1273.1404284248381</c:v>
                </c:pt>
                <c:pt idx="335">
                  <c:v>1273.1571706265424</c:v>
                </c:pt>
                <c:pt idx="336">
                  <c:v>1273.0757973370996</c:v>
                </c:pt>
                <c:pt idx="337">
                  <c:v>1272.8963991911698</c:v>
                </c:pt>
                <c:pt idx="338">
                  <c:v>1272.6190669626224</c:v>
                </c:pt>
                <c:pt idx="339">
                  <c:v>1272.2438920308314</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4</c:v>
                </c:pt>
              </c:numCache>
            </c:numRef>
          </c:xVal>
          <c:yVal>
            <c:numRef>
              <c:f>Trajecto!$C$158</c:f>
              <c:numCache>
                <c:formatCode>0</c:formatCode>
                <c:ptCount val="1"/>
                <c:pt idx="0">
                  <c:v>635.88548341897297</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24.250000000000082</c:v>
                </c:pt>
              </c:numCache>
            </c:numRef>
          </c:xVal>
          <c:yVal>
            <c:numRef>
              <c:f>Trajecto!$C$159</c:f>
              <c:numCache>
                <c:formatCode>0</c:formatCode>
                <c:ptCount val="1"/>
                <c:pt idx="0">
                  <c:v>636.57021421241905</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33.100100000000204</c:v>
                </c:pt>
                <c:pt idx="513">
                  <c:v>33.100200000000207</c:v>
                </c:pt>
                <c:pt idx="514">
                  <c:v>33.10030000000021</c:v>
                </c:pt>
                <c:pt idx="515">
                  <c:v>33.100400000000214</c:v>
                </c:pt>
                <c:pt idx="516">
                  <c:v>33.100500000000217</c:v>
                </c:pt>
                <c:pt idx="517">
                  <c:v>33.10060000000022</c:v>
                </c:pt>
                <c:pt idx="518">
                  <c:v>33.100700000000224</c:v>
                </c:pt>
                <c:pt idx="519">
                  <c:v>33.100800000000227</c:v>
                </c:pt>
                <c:pt idx="520">
                  <c:v>33.10090000000023</c:v>
                </c:pt>
                <c:pt idx="521">
                  <c:v>33.101000000000234</c:v>
                </c:pt>
                <c:pt idx="522">
                  <c:v>33.101100000000237</c:v>
                </c:pt>
                <c:pt idx="523">
                  <c:v>33.10120000000024</c:v>
                </c:pt>
                <c:pt idx="524">
                  <c:v>33.101300000000244</c:v>
                </c:pt>
                <c:pt idx="525">
                  <c:v>33.101400000000247</c:v>
                </c:pt>
                <c:pt idx="526">
                  <c:v>33.10150000000025</c:v>
                </c:pt>
                <c:pt idx="527">
                  <c:v>33.101600000000253</c:v>
                </c:pt>
                <c:pt idx="528">
                  <c:v>33.101700000000257</c:v>
                </c:pt>
                <c:pt idx="529">
                  <c:v>33.10180000000026</c:v>
                </c:pt>
                <c:pt idx="530">
                  <c:v>33.101900000000263</c:v>
                </c:pt>
                <c:pt idx="531">
                  <c:v>33.102000000000267</c:v>
                </c:pt>
                <c:pt idx="532">
                  <c:v>33.10210000000027</c:v>
                </c:pt>
                <c:pt idx="533">
                  <c:v>33.102200000000273</c:v>
                </c:pt>
                <c:pt idx="534">
                  <c:v>33.102300000000277</c:v>
                </c:pt>
                <c:pt idx="535">
                  <c:v>33.10240000000028</c:v>
                </c:pt>
                <c:pt idx="536">
                  <c:v>33.102500000000283</c:v>
                </c:pt>
                <c:pt idx="537">
                  <c:v>33.102600000000287</c:v>
                </c:pt>
                <c:pt idx="538">
                  <c:v>33.10270000000029</c:v>
                </c:pt>
                <c:pt idx="539">
                  <c:v>33.102800000000293</c:v>
                </c:pt>
                <c:pt idx="540">
                  <c:v>33.102900000000297</c:v>
                </c:pt>
                <c:pt idx="541">
                  <c:v>33.1030000000003</c:v>
                </c:pt>
                <c:pt idx="542">
                  <c:v>33.103100000000303</c:v>
                </c:pt>
                <c:pt idx="543">
                  <c:v>33.103200000000307</c:v>
                </c:pt>
                <c:pt idx="544">
                  <c:v>33.10330000000031</c:v>
                </c:pt>
                <c:pt idx="545">
                  <c:v>33.103400000000313</c:v>
                </c:pt>
                <c:pt idx="546">
                  <c:v>33.103500000000317</c:v>
                </c:pt>
                <c:pt idx="547">
                  <c:v>33.10360000000032</c:v>
                </c:pt>
                <c:pt idx="548">
                  <c:v>33.103700000000323</c:v>
                </c:pt>
                <c:pt idx="549">
                  <c:v>33.103800000000327</c:v>
                </c:pt>
                <c:pt idx="550">
                  <c:v>33.10390000000033</c:v>
                </c:pt>
                <c:pt idx="551">
                  <c:v>33.104000000000333</c:v>
                </c:pt>
                <c:pt idx="552">
                  <c:v>33.104100000000336</c:v>
                </c:pt>
                <c:pt idx="553">
                  <c:v>33.10420000000034</c:v>
                </c:pt>
                <c:pt idx="554">
                  <c:v>33.104300000000343</c:v>
                </c:pt>
                <c:pt idx="555">
                  <c:v>33.104400000000346</c:v>
                </c:pt>
                <c:pt idx="556">
                  <c:v>33.10450000000035</c:v>
                </c:pt>
                <c:pt idx="557">
                  <c:v>33.104600000000353</c:v>
                </c:pt>
                <c:pt idx="558">
                  <c:v>33.104700000000356</c:v>
                </c:pt>
                <c:pt idx="559">
                  <c:v>33.10480000000036</c:v>
                </c:pt>
                <c:pt idx="560">
                  <c:v>33.104900000000363</c:v>
                </c:pt>
                <c:pt idx="561">
                  <c:v>33.105000000000366</c:v>
                </c:pt>
                <c:pt idx="562">
                  <c:v>33.10510000000037</c:v>
                </c:pt>
                <c:pt idx="563">
                  <c:v>33.105200000000373</c:v>
                </c:pt>
                <c:pt idx="564">
                  <c:v>33.105300000000376</c:v>
                </c:pt>
                <c:pt idx="565">
                  <c:v>33.10540000000038</c:v>
                </c:pt>
                <c:pt idx="566">
                  <c:v>33.105500000000383</c:v>
                </c:pt>
                <c:pt idx="567">
                  <c:v>33.105600000000386</c:v>
                </c:pt>
                <c:pt idx="568">
                  <c:v>33.10570000000039</c:v>
                </c:pt>
                <c:pt idx="569">
                  <c:v>33.105800000000393</c:v>
                </c:pt>
                <c:pt idx="570">
                  <c:v>33.105900000000396</c:v>
                </c:pt>
                <c:pt idx="571">
                  <c:v>33.1060000000004</c:v>
                </c:pt>
                <c:pt idx="572">
                  <c:v>33.106100000000403</c:v>
                </c:pt>
                <c:pt idx="573">
                  <c:v>33.106200000000406</c:v>
                </c:pt>
                <c:pt idx="574">
                  <c:v>33.10630000000041</c:v>
                </c:pt>
                <c:pt idx="575">
                  <c:v>33.106400000000413</c:v>
                </c:pt>
                <c:pt idx="576">
                  <c:v>33.106500000000416</c:v>
                </c:pt>
                <c:pt idx="577">
                  <c:v>33.106600000000419</c:v>
                </c:pt>
                <c:pt idx="578">
                  <c:v>33.106700000000423</c:v>
                </c:pt>
                <c:pt idx="579">
                  <c:v>33.106800000000426</c:v>
                </c:pt>
                <c:pt idx="580">
                  <c:v>33.106900000000429</c:v>
                </c:pt>
                <c:pt idx="581">
                  <c:v>33.107000000000433</c:v>
                </c:pt>
                <c:pt idx="582">
                  <c:v>33.107100000000436</c:v>
                </c:pt>
                <c:pt idx="583">
                  <c:v>33.107200000000439</c:v>
                </c:pt>
                <c:pt idx="584">
                  <c:v>33.107300000000443</c:v>
                </c:pt>
                <c:pt idx="585">
                  <c:v>33.107400000000446</c:v>
                </c:pt>
                <c:pt idx="586">
                  <c:v>33.107500000000449</c:v>
                </c:pt>
                <c:pt idx="587">
                  <c:v>33.107600000000453</c:v>
                </c:pt>
                <c:pt idx="588">
                  <c:v>33.107700000000456</c:v>
                </c:pt>
                <c:pt idx="589">
                  <c:v>33.107800000000459</c:v>
                </c:pt>
                <c:pt idx="590">
                  <c:v>33.107900000000463</c:v>
                </c:pt>
                <c:pt idx="591">
                  <c:v>33.108000000000466</c:v>
                </c:pt>
                <c:pt idx="592">
                  <c:v>33.108100000000469</c:v>
                </c:pt>
                <c:pt idx="593">
                  <c:v>33.108200000000473</c:v>
                </c:pt>
                <c:pt idx="594">
                  <c:v>33.108300000000476</c:v>
                </c:pt>
                <c:pt idx="595">
                  <c:v>33.108400000000479</c:v>
                </c:pt>
                <c:pt idx="596">
                  <c:v>33.108500000000483</c:v>
                </c:pt>
                <c:pt idx="597">
                  <c:v>33.108600000000486</c:v>
                </c:pt>
                <c:pt idx="598">
                  <c:v>33.108700000000489</c:v>
                </c:pt>
                <c:pt idx="599">
                  <c:v>33.108800000000493</c:v>
                </c:pt>
                <c:pt idx="600">
                  <c:v>33.108900000000496</c:v>
                </c:pt>
                <c:pt idx="601">
                  <c:v>33.109000000000499</c:v>
                </c:pt>
                <c:pt idx="602">
                  <c:v>33.109100000000502</c:v>
                </c:pt>
                <c:pt idx="603">
                  <c:v>33.109200000000506</c:v>
                </c:pt>
                <c:pt idx="604">
                  <c:v>33.109300000000509</c:v>
                </c:pt>
                <c:pt idx="605">
                  <c:v>33.109400000000512</c:v>
                </c:pt>
                <c:pt idx="606">
                  <c:v>33.109500000000516</c:v>
                </c:pt>
                <c:pt idx="607">
                  <c:v>33.109600000000519</c:v>
                </c:pt>
                <c:pt idx="608">
                  <c:v>33.109700000000522</c:v>
                </c:pt>
                <c:pt idx="609">
                  <c:v>33.109800000000526</c:v>
                </c:pt>
                <c:pt idx="610">
                  <c:v>33.109900000000529</c:v>
                </c:pt>
                <c:pt idx="611">
                  <c:v>33.110000000000532</c:v>
                </c:pt>
                <c:pt idx="612">
                  <c:v>33.110100000000536</c:v>
                </c:pt>
                <c:pt idx="613">
                  <c:v>33.110200000000539</c:v>
                </c:pt>
                <c:pt idx="614">
                  <c:v>33.110300000000542</c:v>
                </c:pt>
                <c:pt idx="615">
                  <c:v>33.110400000000546</c:v>
                </c:pt>
                <c:pt idx="616">
                  <c:v>33.110500000000549</c:v>
                </c:pt>
                <c:pt idx="617">
                  <c:v>33.110600000000552</c:v>
                </c:pt>
                <c:pt idx="618">
                  <c:v>33.110700000000556</c:v>
                </c:pt>
                <c:pt idx="619">
                  <c:v>33.110800000000559</c:v>
                </c:pt>
                <c:pt idx="620">
                  <c:v>33.110900000000562</c:v>
                </c:pt>
                <c:pt idx="621">
                  <c:v>33.111000000000566</c:v>
                </c:pt>
                <c:pt idx="622">
                  <c:v>33.111100000000569</c:v>
                </c:pt>
                <c:pt idx="623">
                  <c:v>33.111200000000572</c:v>
                </c:pt>
                <c:pt idx="624">
                  <c:v>33.111300000000575</c:v>
                </c:pt>
                <c:pt idx="625">
                  <c:v>33.111400000000579</c:v>
                </c:pt>
                <c:pt idx="626">
                  <c:v>33.111500000000582</c:v>
                </c:pt>
                <c:pt idx="627">
                  <c:v>33.111600000000585</c:v>
                </c:pt>
                <c:pt idx="628">
                  <c:v>33.111700000000589</c:v>
                </c:pt>
                <c:pt idx="629">
                  <c:v>33.111800000000592</c:v>
                </c:pt>
                <c:pt idx="630">
                  <c:v>33.111900000000595</c:v>
                </c:pt>
                <c:pt idx="631">
                  <c:v>33.112000000000599</c:v>
                </c:pt>
                <c:pt idx="632">
                  <c:v>33.112100000000602</c:v>
                </c:pt>
                <c:pt idx="633">
                  <c:v>33.112200000000605</c:v>
                </c:pt>
                <c:pt idx="634">
                  <c:v>33.112300000000609</c:v>
                </c:pt>
                <c:pt idx="635">
                  <c:v>33.112400000000612</c:v>
                </c:pt>
                <c:pt idx="636">
                  <c:v>33.112500000000615</c:v>
                </c:pt>
                <c:pt idx="637">
                  <c:v>33.112600000000619</c:v>
                </c:pt>
                <c:pt idx="638">
                  <c:v>33.112700000000622</c:v>
                </c:pt>
                <c:pt idx="639">
                  <c:v>33.112800000000625</c:v>
                </c:pt>
                <c:pt idx="640">
                  <c:v>33.112900000000629</c:v>
                </c:pt>
                <c:pt idx="641">
                  <c:v>33.113000000000632</c:v>
                </c:pt>
                <c:pt idx="642">
                  <c:v>33.113100000000635</c:v>
                </c:pt>
                <c:pt idx="643">
                  <c:v>33.113200000000639</c:v>
                </c:pt>
                <c:pt idx="644">
                  <c:v>33.113300000000642</c:v>
                </c:pt>
                <c:pt idx="645">
                  <c:v>33.113400000000645</c:v>
                </c:pt>
                <c:pt idx="646">
                  <c:v>33.113500000000649</c:v>
                </c:pt>
                <c:pt idx="647">
                  <c:v>33.113600000000652</c:v>
                </c:pt>
                <c:pt idx="648">
                  <c:v>33.113700000000655</c:v>
                </c:pt>
                <c:pt idx="649">
                  <c:v>33.113800000000658</c:v>
                </c:pt>
                <c:pt idx="650">
                  <c:v>33.113900000000662</c:v>
                </c:pt>
                <c:pt idx="651">
                  <c:v>33.114000000000665</c:v>
                </c:pt>
                <c:pt idx="652">
                  <c:v>33.114100000000668</c:v>
                </c:pt>
                <c:pt idx="653">
                  <c:v>33.114200000000672</c:v>
                </c:pt>
                <c:pt idx="654">
                  <c:v>33.114300000000675</c:v>
                </c:pt>
                <c:pt idx="655">
                  <c:v>33.114400000000678</c:v>
                </c:pt>
                <c:pt idx="656">
                  <c:v>33.114500000000682</c:v>
                </c:pt>
                <c:pt idx="657">
                  <c:v>33.114600000000685</c:v>
                </c:pt>
                <c:pt idx="658">
                  <c:v>33.114700000000688</c:v>
                </c:pt>
                <c:pt idx="659">
                  <c:v>33.114800000000692</c:v>
                </c:pt>
                <c:pt idx="660">
                  <c:v>33.114900000000695</c:v>
                </c:pt>
                <c:pt idx="661">
                  <c:v>33.115000000000698</c:v>
                </c:pt>
                <c:pt idx="662">
                  <c:v>33.115100000000702</c:v>
                </c:pt>
                <c:pt idx="663">
                  <c:v>33.115200000000705</c:v>
                </c:pt>
                <c:pt idx="664">
                  <c:v>33.115300000000708</c:v>
                </c:pt>
                <c:pt idx="665">
                  <c:v>33.115400000000712</c:v>
                </c:pt>
                <c:pt idx="666">
                  <c:v>33.115500000000715</c:v>
                </c:pt>
                <c:pt idx="667">
                  <c:v>33.115600000000718</c:v>
                </c:pt>
                <c:pt idx="668">
                  <c:v>33.115700000000722</c:v>
                </c:pt>
                <c:pt idx="669">
                  <c:v>33.115800000000725</c:v>
                </c:pt>
                <c:pt idx="670">
                  <c:v>33.115900000000728</c:v>
                </c:pt>
                <c:pt idx="671">
                  <c:v>33.116000000000732</c:v>
                </c:pt>
                <c:pt idx="672">
                  <c:v>33.116100000000735</c:v>
                </c:pt>
                <c:pt idx="673">
                  <c:v>33.116200000000738</c:v>
                </c:pt>
                <c:pt idx="674">
                  <c:v>33.116300000000741</c:v>
                </c:pt>
                <c:pt idx="675">
                  <c:v>33.116400000000745</c:v>
                </c:pt>
                <c:pt idx="676">
                  <c:v>33.116500000000748</c:v>
                </c:pt>
                <c:pt idx="677">
                  <c:v>33.116600000000751</c:v>
                </c:pt>
                <c:pt idx="678">
                  <c:v>33.116700000000755</c:v>
                </c:pt>
                <c:pt idx="679">
                  <c:v>33.116800000000758</c:v>
                </c:pt>
                <c:pt idx="680">
                  <c:v>33.116900000000761</c:v>
                </c:pt>
                <c:pt idx="681">
                  <c:v>33.117000000000765</c:v>
                </c:pt>
                <c:pt idx="682">
                  <c:v>33.117100000000768</c:v>
                </c:pt>
                <c:pt idx="683">
                  <c:v>33.117200000000771</c:v>
                </c:pt>
                <c:pt idx="684">
                  <c:v>33.117300000000775</c:v>
                </c:pt>
                <c:pt idx="685">
                  <c:v>33.117400000000778</c:v>
                </c:pt>
                <c:pt idx="686">
                  <c:v>33.117500000000781</c:v>
                </c:pt>
                <c:pt idx="687">
                  <c:v>33.117600000000785</c:v>
                </c:pt>
                <c:pt idx="688">
                  <c:v>33.117700000000788</c:v>
                </c:pt>
                <c:pt idx="689">
                  <c:v>33.117800000000791</c:v>
                </c:pt>
                <c:pt idx="690">
                  <c:v>33.117900000000795</c:v>
                </c:pt>
                <c:pt idx="691">
                  <c:v>33.118000000000798</c:v>
                </c:pt>
                <c:pt idx="692">
                  <c:v>33.118100000000801</c:v>
                </c:pt>
                <c:pt idx="693">
                  <c:v>33.118200000000805</c:v>
                </c:pt>
                <c:pt idx="694">
                  <c:v>33.118300000000808</c:v>
                </c:pt>
                <c:pt idx="695">
                  <c:v>33.118400000000811</c:v>
                </c:pt>
                <c:pt idx="696">
                  <c:v>33.118500000000815</c:v>
                </c:pt>
                <c:pt idx="697">
                  <c:v>33.118600000000818</c:v>
                </c:pt>
                <c:pt idx="698">
                  <c:v>33.118700000000821</c:v>
                </c:pt>
                <c:pt idx="699">
                  <c:v>33.118800000000824</c:v>
                </c:pt>
                <c:pt idx="700">
                  <c:v>33.118900000000828</c:v>
                </c:pt>
                <c:pt idx="701">
                  <c:v>33.119000000000831</c:v>
                </c:pt>
                <c:pt idx="702">
                  <c:v>33.119100000000834</c:v>
                </c:pt>
                <c:pt idx="703">
                  <c:v>33.119200000000838</c:v>
                </c:pt>
                <c:pt idx="704">
                  <c:v>33.119300000000841</c:v>
                </c:pt>
                <c:pt idx="705">
                  <c:v>33.119400000000844</c:v>
                </c:pt>
                <c:pt idx="706">
                  <c:v>33.119500000000848</c:v>
                </c:pt>
                <c:pt idx="707">
                  <c:v>33.119600000000851</c:v>
                </c:pt>
                <c:pt idx="708">
                  <c:v>33.119700000000854</c:v>
                </c:pt>
                <c:pt idx="709">
                  <c:v>33.119800000000858</c:v>
                </c:pt>
                <c:pt idx="710">
                  <c:v>33.119900000000861</c:v>
                </c:pt>
                <c:pt idx="711">
                  <c:v>33.120000000000864</c:v>
                </c:pt>
                <c:pt idx="712">
                  <c:v>33.120100000000868</c:v>
                </c:pt>
                <c:pt idx="713">
                  <c:v>33.120200000000871</c:v>
                </c:pt>
                <c:pt idx="714">
                  <c:v>33.120300000000874</c:v>
                </c:pt>
                <c:pt idx="715">
                  <c:v>33.120400000000878</c:v>
                </c:pt>
                <c:pt idx="716">
                  <c:v>33.120500000000881</c:v>
                </c:pt>
                <c:pt idx="717">
                  <c:v>33.120600000000884</c:v>
                </c:pt>
                <c:pt idx="718">
                  <c:v>33.120700000000888</c:v>
                </c:pt>
                <c:pt idx="719">
                  <c:v>33.120800000000891</c:v>
                </c:pt>
                <c:pt idx="720">
                  <c:v>33.120900000000894</c:v>
                </c:pt>
                <c:pt idx="721">
                  <c:v>33.121000000000898</c:v>
                </c:pt>
                <c:pt idx="722">
                  <c:v>33.121100000000901</c:v>
                </c:pt>
                <c:pt idx="723">
                  <c:v>33.121200000000904</c:v>
                </c:pt>
                <c:pt idx="724">
                  <c:v>33.121300000000907</c:v>
                </c:pt>
                <c:pt idx="725">
                  <c:v>33.121400000000911</c:v>
                </c:pt>
                <c:pt idx="726">
                  <c:v>33.121500000000914</c:v>
                </c:pt>
                <c:pt idx="727">
                  <c:v>33.121600000000917</c:v>
                </c:pt>
                <c:pt idx="728">
                  <c:v>33.121700000000921</c:v>
                </c:pt>
                <c:pt idx="729">
                  <c:v>33.121800000000924</c:v>
                </c:pt>
                <c:pt idx="730">
                  <c:v>33.121900000000927</c:v>
                </c:pt>
                <c:pt idx="731">
                  <c:v>33.122000000000931</c:v>
                </c:pt>
                <c:pt idx="732">
                  <c:v>33.122100000000934</c:v>
                </c:pt>
                <c:pt idx="733">
                  <c:v>33.122200000000937</c:v>
                </c:pt>
                <c:pt idx="734">
                  <c:v>33.122300000000941</c:v>
                </c:pt>
                <c:pt idx="735">
                  <c:v>33.122400000000944</c:v>
                </c:pt>
                <c:pt idx="736">
                  <c:v>33.122500000000947</c:v>
                </c:pt>
                <c:pt idx="737">
                  <c:v>33.122600000000951</c:v>
                </c:pt>
                <c:pt idx="738">
                  <c:v>33.122700000000954</c:v>
                </c:pt>
                <c:pt idx="739">
                  <c:v>33.122800000000957</c:v>
                </c:pt>
                <c:pt idx="740">
                  <c:v>33.122900000000961</c:v>
                </c:pt>
                <c:pt idx="741">
                  <c:v>33.123000000000964</c:v>
                </c:pt>
                <c:pt idx="742">
                  <c:v>33.123100000000967</c:v>
                </c:pt>
                <c:pt idx="743">
                  <c:v>33.123200000000971</c:v>
                </c:pt>
                <c:pt idx="744">
                  <c:v>33.123300000000974</c:v>
                </c:pt>
                <c:pt idx="745">
                  <c:v>33.123400000000977</c:v>
                </c:pt>
                <c:pt idx="746">
                  <c:v>33.12350000000098</c:v>
                </c:pt>
                <c:pt idx="747">
                  <c:v>33.123600000000984</c:v>
                </c:pt>
                <c:pt idx="748">
                  <c:v>33.123700000000987</c:v>
                </c:pt>
                <c:pt idx="749">
                  <c:v>33.12380000000099</c:v>
                </c:pt>
                <c:pt idx="750">
                  <c:v>33.123900000000994</c:v>
                </c:pt>
                <c:pt idx="751">
                  <c:v>33.124000000000997</c:v>
                </c:pt>
                <c:pt idx="752">
                  <c:v>33.124100000001</c:v>
                </c:pt>
                <c:pt idx="753">
                  <c:v>33.124200000001004</c:v>
                </c:pt>
                <c:pt idx="754">
                  <c:v>33.124300000001007</c:v>
                </c:pt>
                <c:pt idx="755">
                  <c:v>33.12440000000101</c:v>
                </c:pt>
                <c:pt idx="756">
                  <c:v>33.124500000001014</c:v>
                </c:pt>
                <c:pt idx="757">
                  <c:v>33.124600000001017</c:v>
                </c:pt>
                <c:pt idx="758">
                  <c:v>33.12470000000102</c:v>
                </c:pt>
                <c:pt idx="759">
                  <c:v>33.124800000001024</c:v>
                </c:pt>
                <c:pt idx="760">
                  <c:v>33.124900000001027</c:v>
                </c:pt>
                <c:pt idx="761">
                  <c:v>33.12500000000103</c:v>
                </c:pt>
                <c:pt idx="762">
                  <c:v>33.125100000001034</c:v>
                </c:pt>
                <c:pt idx="763">
                  <c:v>33.125200000001037</c:v>
                </c:pt>
                <c:pt idx="764">
                  <c:v>33.12530000000104</c:v>
                </c:pt>
                <c:pt idx="765">
                  <c:v>33.125400000001044</c:v>
                </c:pt>
                <c:pt idx="766">
                  <c:v>33.125500000001047</c:v>
                </c:pt>
                <c:pt idx="767">
                  <c:v>33.12560000000105</c:v>
                </c:pt>
                <c:pt idx="768">
                  <c:v>33.125700000001054</c:v>
                </c:pt>
                <c:pt idx="769">
                  <c:v>33.125800000001057</c:v>
                </c:pt>
                <c:pt idx="770">
                  <c:v>33.12590000000106</c:v>
                </c:pt>
                <c:pt idx="771">
                  <c:v>33.126000000001063</c:v>
                </c:pt>
                <c:pt idx="772">
                  <c:v>33.126100000001067</c:v>
                </c:pt>
                <c:pt idx="773">
                  <c:v>33.12620000000107</c:v>
                </c:pt>
                <c:pt idx="774">
                  <c:v>33.126300000001073</c:v>
                </c:pt>
                <c:pt idx="775">
                  <c:v>33.126400000001077</c:v>
                </c:pt>
                <c:pt idx="776">
                  <c:v>33.12650000000108</c:v>
                </c:pt>
                <c:pt idx="777">
                  <c:v>33.126600000001083</c:v>
                </c:pt>
                <c:pt idx="778">
                  <c:v>33.126700000001087</c:v>
                </c:pt>
                <c:pt idx="779">
                  <c:v>33.12680000000109</c:v>
                </c:pt>
                <c:pt idx="780">
                  <c:v>33.126900000001093</c:v>
                </c:pt>
                <c:pt idx="781">
                  <c:v>33.127000000001097</c:v>
                </c:pt>
                <c:pt idx="782">
                  <c:v>33.1271000000011</c:v>
                </c:pt>
                <c:pt idx="783">
                  <c:v>33.127200000001103</c:v>
                </c:pt>
                <c:pt idx="784">
                  <c:v>33.127300000001107</c:v>
                </c:pt>
                <c:pt idx="785">
                  <c:v>33.12740000000111</c:v>
                </c:pt>
                <c:pt idx="786">
                  <c:v>33.127500000001113</c:v>
                </c:pt>
                <c:pt idx="787">
                  <c:v>33.127600000001117</c:v>
                </c:pt>
                <c:pt idx="788">
                  <c:v>33.12770000000112</c:v>
                </c:pt>
                <c:pt idx="789">
                  <c:v>33.127800000001123</c:v>
                </c:pt>
                <c:pt idx="790">
                  <c:v>33.127900000001127</c:v>
                </c:pt>
                <c:pt idx="791">
                  <c:v>33.12800000000113</c:v>
                </c:pt>
                <c:pt idx="792">
                  <c:v>33.128100000001133</c:v>
                </c:pt>
                <c:pt idx="793">
                  <c:v>33.128200000001137</c:v>
                </c:pt>
                <c:pt idx="794">
                  <c:v>33.12830000000114</c:v>
                </c:pt>
                <c:pt idx="795">
                  <c:v>33.128400000001143</c:v>
                </c:pt>
                <c:pt idx="796">
                  <c:v>33.128500000001146</c:v>
                </c:pt>
                <c:pt idx="797">
                  <c:v>33.12860000000115</c:v>
                </c:pt>
                <c:pt idx="798">
                  <c:v>33.128700000001153</c:v>
                </c:pt>
                <c:pt idx="799">
                  <c:v>33.128800000001156</c:v>
                </c:pt>
                <c:pt idx="800">
                  <c:v>33.12890000000116</c:v>
                </c:pt>
                <c:pt idx="801">
                  <c:v>33.129000000001163</c:v>
                </c:pt>
                <c:pt idx="802">
                  <c:v>33.129100000001166</c:v>
                </c:pt>
                <c:pt idx="803">
                  <c:v>33.12920000000117</c:v>
                </c:pt>
                <c:pt idx="804">
                  <c:v>33.129300000001173</c:v>
                </c:pt>
                <c:pt idx="805">
                  <c:v>33.129400000001176</c:v>
                </c:pt>
                <c:pt idx="806">
                  <c:v>33.12950000000118</c:v>
                </c:pt>
                <c:pt idx="807">
                  <c:v>33.129600000001183</c:v>
                </c:pt>
                <c:pt idx="808">
                  <c:v>33.129700000001186</c:v>
                </c:pt>
                <c:pt idx="809">
                  <c:v>33.12980000000119</c:v>
                </c:pt>
                <c:pt idx="810">
                  <c:v>33.129900000001193</c:v>
                </c:pt>
                <c:pt idx="811">
                  <c:v>33.130000000001196</c:v>
                </c:pt>
                <c:pt idx="812">
                  <c:v>33.1301000000012</c:v>
                </c:pt>
                <c:pt idx="813">
                  <c:v>33.130200000001203</c:v>
                </c:pt>
                <c:pt idx="814">
                  <c:v>33.130300000001206</c:v>
                </c:pt>
                <c:pt idx="815">
                  <c:v>33.13040000000121</c:v>
                </c:pt>
                <c:pt idx="816">
                  <c:v>33.130500000001213</c:v>
                </c:pt>
                <c:pt idx="817">
                  <c:v>33.130600000001216</c:v>
                </c:pt>
                <c:pt idx="818">
                  <c:v>33.13070000000122</c:v>
                </c:pt>
                <c:pt idx="819">
                  <c:v>33.130800000001223</c:v>
                </c:pt>
                <c:pt idx="820">
                  <c:v>33.130900000001226</c:v>
                </c:pt>
                <c:pt idx="821">
                  <c:v>33.131000000001229</c:v>
                </c:pt>
                <c:pt idx="822">
                  <c:v>33.131100000001233</c:v>
                </c:pt>
                <c:pt idx="823">
                  <c:v>33.131200000001236</c:v>
                </c:pt>
                <c:pt idx="824">
                  <c:v>33.131300000001239</c:v>
                </c:pt>
                <c:pt idx="825">
                  <c:v>33.131400000001243</c:v>
                </c:pt>
                <c:pt idx="826">
                  <c:v>33.131500000001246</c:v>
                </c:pt>
                <c:pt idx="827">
                  <c:v>33.131600000001249</c:v>
                </c:pt>
                <c:pt idx="828">
                  <c:v>33.131700000001253</c:v>
                </c:pt>
                <c:pt idx="829">
                  <c:v>33.131800000001256</c:v>
                </c:pt>
                <c:pt idx="830">
                  <c:v>33.131900000001259</c:v>
                </c:pt>
                <c:pt idx="831">
                  <c:v>33.132000000001263</c:v>
                </c:pt>
                <c:pt idx="832">
                  <c:v>33.132100000001266</c:v>
                </c:pt>
                <c:pt idx="833">
                  <c:v>33.132200000001269</c:v>
                </c:pt>
                <c:pt idx="834">
                  <c:v>33.132300000001273</c:v>
                </c:pt>
                <c:pt idx="835">
                  <c:v>33.132400000001276</c:v>
                </c:pt>
                <c:pt idx="836">
                  <c:v>33.132500000001279</c:v>
                </c:pt>
                <c:pt idx="837">
                  <c:v>33.132600000001283</c:v>
                </c:pt>
                <c:pt idx="838">
                  <c:v>33.132700000001286</c:v>
                </c:pt>
                <c:pt idx="839">
                  <c:v>33.132800000001289</c:v>
                </c:pt>
                <c:pt idx="840">
                  <c:v>33.132900000001293</c:v>
                </c:pt>
                <c:pt idx="841">
                  <c:v>33.133000000001296</c:v>
                </c:pt>
                <c:pt idx="842">
                  <c:v>33.133100000001299</c:v>
                </c:pt>
                <c:pt idx="843">
                  <c:v>33.133200000001302</c:v>
                </c:pt>
                <c:pt idx="844">
                  <c:v>33.133300000001306</c:v>
                </c:pt>
                <c:pt idx="845">
                  <c:v>33.133400000001309</c:v>
                </c:pt>
                <c:pt idx="846">
                  <c:v>33.133500000001312</c:v>
                </c:pt>
                <c:pt idx="847">
                  <c:v>33.133600000001316</c:v>
                </c:pt>
                <c:pt idx="848">
                  <c:v>33.133700000001319</c:v>
                </c:pt>
                <c:pt idx="849">
                  <c:v>33.133800000001322</c:v>
                </c:pt>
                <c:pt idx="850">
                  <c:v>33.133900000001326</c:v>
                </c:pt>
                <c:pt idx="851">
                  <c:v>33.134000000001329</c:v>
                </c:pt>
                <c:pt idx="852">
                  <c:v>33.134100000001332</c:v>
                </c:pt>
                <c:pt idx="853">
                  <c:v>33.134200000001336</c:v>
                </c:pt>
                <c:pt idx="854">
                  <c:v>33.134300000001339</c:v>
                </c:pt>
                <c:pt idx="855">
                  <c:v>33.134400000001342</c:v>
                </c:pt>
                <c:pt idx="856">
                  <c:v>33.134500000001346</c:v>
                </c:pt>
                <c:pt idx="857">
                  <c:v>33.134600000001349</c:v>
                </c:pt>
                <c:pt idx="858">
                  <c:v>33.134700000001352</c:v>
                </c:pt>
                <c:pt idx="859">
                  <c:v>33.134800000001356</c:v>
                </c:pt>
                <c:pt idx="860">
                  <c:v>33.134900000001359</c:v>
                </c:pt>
                <c:pt idx="861">
                  <c:v>33.135000000001362</c:v>
                </c:pt>
                <c:pt idx="862">
                  <c:v>33.135100000001366</c:v>
                </c:pt>
                <c:pt idx="863">
                  <c:v>33.135200000001369</c:v>
                </c:pt>
                <c:pt idx="864">
                  <c:v>33.135300000001372</c:v>
                </c:pt>
                <c:pt idx="865">
                  <c:v>33.135400000001376</c:v>
                </c:pt>
                <c:pt idx="866">
                  <c:v>33.135500000001379</c:v>
                </c:pt>
                <c:pt idx="867">
                  <c:v>33.135600000001382</c:v>
                </c:pt>
                <c:pt idx="868">
                  <c:v>33.135700000001385</c:v>
                </c:pt>
                <c:pt idx="869">
                  <c:v>33.135800000001389</c:v>
                </c:pt>
                <c:pt idx="870">
                  <c:v>33.135900000001392</c:v>
                </c:pt>
                <c:pt idx="871">
                  <c:v>33.136000000001395</c:v>
                </c:pt>
                <c:pt idx="872">
                  <c:v>33.136100000001399</c:v>
                </c:pt>
                <c:pt idx="873">
                  <c:v>33.136200000001402</c:v>
                </c:pt>
                <c:pt idx="874">
                  <c:v>33.136300000001405</c:v>
                </c:pt>
                <c:pt idx="875">
                  <c:v>33.136400000001409</c:v>
                </c:pt>
                <c:pt idx="876">
                  <c:v>33.136500000001412</c:v>
                </c:pt>
                <c:pt idx="877">
                  <c:v>33.136600000001415</c:v>
                </c:pt>
                <c:pt idx="878">
                  <c:v>33.136700000001419</c:v>
                </c:pt>
                <c:pt idx="879">
                  <c:v>33.136800000001422</c:v>
                </c:pt>
                <c:pt idx="880">
                  <c:v>33.136900000001425</c:v>
                </c:pt>
                <c:pt idx="881">
                  <c:v>33.137000000001429</c:v>
                </c:pt>
                <c:pt idx="882">
                  <c:v>33.137100000001432</c:v>
                </c:pt>
                <c:pt idx="883">
                  <c:v>33.137200000001435</c:v>
                </c:pt>
                <c:pt idx="884">
                  <c:v>33.137300000001439</c:v>
                </c:pt>
                <c:pt idx="885">
                  <c:v>33.137400000001442</c:v>
                </c:pt>
                <c:pt idx="886">
                  <c:v>33.137500000001445</c:v>
                </c:pt>
                <c:pt idx="887">
                  <c:v>33.137600000001449</c:v>
                </c:pt>
                <c:pt idx="888">
                  <c:v>33.137700000001452</c:v>
                </c:pt>
                <c:pt idx="889">
                  <c:v>33.137800000001455</c:v>
                </c:pt>
                <c:pt idx="890">
                  <c:v>33.137900000001459</c:v>
                </c:pt>
                <c:pt idx="891">
                  <c:v>33.138000000001462</c:v>
                </c:pt>
                <c:pt idx="892">
                  <c:v>33.138100000001465</c:v>
                </c:pt>
                <c:pt idx="893">
                  <c:v>33.138200000001468</c:v>
                </c:pt>
                <c:pt idx="894">
                  <c:v>33.138300000001472</c:v>
                </c:pt>
                <c:pt idx="895">
                  <c:v>33.138400000001475</c:v>
                </c:pt>
                <c:pt idx="896">
                  <c:v>33.138500000001478</c:v>
                </c:pt>
                <c:pt idx="897">
                  <c:v>33.138600000001482</c:v>
                </c:pt>
                <c:pt idx="898">
                  <c:v>33.138700000001485</c:v>
                </c:pt>
                <c:pt idx="899">
                  <c:v>33.138800000001488</c:v>
                </c:pt>
                <c:pt idx="900">
                  <c:v>33.138900000001492</c:v>
                </c:pt>
                <c:pt idx="901">
                  <c:v>33.139000000001495</c:v>
                </c:pt>
                <c:pt idx="902">
                  <c:v>33.139100000001498</c:v>
                </c:pt>
                <c:pt idx="903">
                  <c:v>33.139200000001502</c:v>
                </c:pt>
                <c:pt idx="904">
                  <c:v>33.139300000001505</c:v>
                </c:pt>
                <c:pt idx="905">
                  <c:v>33.139400000001508</c:v>
                </c:pt>
                <c:pt idx="906">
                  <c:v>33.139500000001512</c:v>
                </c:pt>
                <c:pt idx="907">
                  <c:v>33.139600000001515</c:v>
                </c:pt>
                <c:pt idx="908">
                  <c:v>33.139700000001518</c:v>
                </c:pt>
                <c:pt idx="909">
                  <c:v>33.139800000001522</c:v>
                </c:pt>
                <c:pt idx="910">
                  <c:v>33.139900000001525</c:v>
                </c:pt>
                <c:pt idx="911">
                  <c:v>33.140000000001528</c:v>
                </c:pt>
                <c:pt idx="912">
                  <c:v>33.140100000001532</c:v>
                </c:pt>
                <c:pt idx="913">
                  <c:v>33.140200000001535</c:v>
                </c:pt>
                <c:pt idx="914">
                  <c:v>33.140300000001538</c:v>
                </c:pt>
                <c:pt idx="915">
                  <c:v>33.140400000001542</c:v>
                </c:pt>
                <c:pt idx="916">
                  <c:v>33.140500000001545</c:v>
                </c:pt>
                <c:pt idx="917">
                  <c:v>33.140600000001548</c:v>
                </c:pt>
                <c:pt idx="918">
                  <c:v>33.140700000001551</c:v>
                </c:pt>
                <c:pt idx="919">
                  <c:v>33.140800000001555</c:v>
                </c:pt>
                <c:pt idx="920">
                  <c:v>33.140900000001558</c:v>
                </c:pt>
                <c:pt idx="921">
                  <c:v>33.141000000001561</c:v>
                </c:pt>
                <c:pt idx="922">
                  <c:v>33.141100000001565</c:v>
                </c:pt>
                <c:pt idx="923">
                  <c:v>33.141200000001568</c:v>
                </c:pt>
                <c:pt idx="924">
                  <c:v>33.141300000001571</c:v>
                </c:pt>
                <c:pt idx="925">
                  <c:v>33.141400000001575</c:v>
                </c:pt>
                <c:pt idx="926">
                  <c:v>33.141500000001578</c:v>
                </c:pt>
                <c:pt idx="927">
                  <c:v>33.141600000001581</c:v>
                </c:pt>
                <c:pt idx="928">
                  <c:v>33.141700000001585</c:v>
                </c:pt>
                <c:pt idx="929">
                  <c:v>33.141800000001588</c:v>
                </c:pt>
                <c:pt idx="930">
                  <c:v>33.141900000001591</c:v>
                </c:pt>
                <c:pt idx="931">
                  <c:v>33.142000000001595</c:v>
                </c:pt>
                <c:pt idx="932">
                  <c:v>33.142100000001598</c:v>
                </c:pt>
                <c:pt idx="933">
                  <c:v>33.142200000001601</c:v>
                </c:pt>
                <c:pt idx="934">
                  <c:v>33.142300000001605</c:v>
                </c:pt>
                <c:pt idx="935">
                  <c:v>33.142400000001608</c:v>
                </c:pt>
                <c:pt idx="936">
                  <c:v>33.142500000001611</c:v>
                </c:pt>
                <c:pt idx="937">
                  <c:v>33.142600000001615</c:v>
                </c:pt>
                <c:pt idx="938">
                  <c:v>33.142700000001618</c:v>
                </c:pt>
                <c:pt idx="939">
                  <c:v>33.142800000001621</c:v>
                </c:pt>
                <c:pt idx="940">
                  <c:v>33.142900000001625</c:v>
                </c:pt>
                <c:pt idx="941">
                  <c:v>33.143000000001628</c:v>
                </c:pt>
                <c:pt idx="942">
                  <c:v>33.143100000001631</c:v>
                </c:pt>
                <c:pt idx="943">
                  <c:v>33.143200000001634</c:v>
                </c:pt>
                <c:pt idx="944">
                  <c:v>33.143300000001638</c:v>
                </c:pt>
                <c:pt idx="945">
                  <c:v>33.143400000001641</c:v>
                </c:pt>
                <c:pt idx="946">
                  <c:v>33.143500000001644</c:v>
                </c:pt>
                <c:pt idx="947">
                  <c:v>33.143600000001648</c:v>
                </c:pt>
                <c:pt idx="948">
                  <c:v>33.143700000001651</c:v>
                </c:pt>
                <c:pt idx="949">
                  <c:v>33.143800000001654</c:v>
                </c:pt>
                <c:pt idx="950">
                  <c:v>33.143900000001658</c:v>
                </c:pt>
                <c:pt idx="951">
                  <c:v>33.144000000001661</c:v>
                </c:pt>
                <c:pt idx="952">
                  <c:v>33.144100000001664</c:v>
                </c:pt>
                <c:pt idx="953">
                  <c:v>33.144200000001668</c:v>
                </c:pt>
                <c:pt idx="954">
                  <c:v>33.144300000001671</c:v>
                </c:pt>
                <c:pt idx="955">
                  <c:v>33.144400000001674</c:v>
                </c:pt>
                <c:pt idx="956">
                  <c:v>33.144500000001678</c:v>
                </c:pt>
                <c:pt idx="957">
                  <c:v>33.144600000001681</c:v>
                </c:pt>
                <c:pt idx="958">
                  <c:v>33.144700000001684</c:v>
                </c:pt>
                <c:pt idx="959">
                  <c:v>33.144800000001688</c:v>
                </c:pt>
                <c:pt idx="960">
                  <c:v>33.144900000001691</c:v>
                </c:pt>
                <c:pt idx="961">
                  <c:v>33.145000000001694</c:v>
                </c:pt>
                <c:pt idx="962">
                  <c:v>33.145100000001698</c:v>
                </c:pt>
                <c:pt idx="963">
                  <c:v>33.145200000001701</c:v>
                </c:pt>
                <c:pt idx="964">
                  <c:v>33.145300000001704</c:v>
                </c:pt>
                <c:pt idx="965">
                  <c:v>33.145400000001707</c:v>
                </c:pt>
                <c:pt idx="966">
                  <c:v>33.145500000001711</c:v>
                </c:pt>
                <c:pt idx="967">
                  <c:v>33.145600000001714</c:v>
                </c:pt>
                <c:pt idx="968">
                  <c:v>33.145700000001717</c:v>
                </c:pt>
                <c:pt idx="969">
                  <c:v>33.145800000001721</c:v>
                </c:pt>
                <c:pt idx="970">
                  <c:v>33.145900000001724</c:v>
                </c:pt>
                <c:pt idx="971">
                  <c:v>33.146000000001727</c:v>
                </c:pt>
                <c:pt idx="972">
                  <c:v>33.146100000001731</c:v>
                </c:pt>
                <c:pt idx="973">
                  <c:v>33.146200000001734</c:v>
                </c:pt>
                <c:pt idx="974">
                  <c:v>33.146300000001737</c:v>
                </c:pt>
                <c:pt idx="975">
                  <c:v>33.146400000001741</c:v>
                </c:pt>
                <c:pt idx="976">
                  <c:v>33.146500000001744</c:v>
                </c:pt>
                <c:pt idx="977">
                  <c:v>33.146600000001747</c:v>
                </c:pt>
                <c:pt idx="978">
                  <c:v>33.146700000001751</c:v>
                </c:pt>
                <c:pt idx="979">
                  <c:v>33.146800000001754</c:v>
                </c:pt>
                <c:pt idx="980">
                  <c:v>33.146900000001757</c:v>
                </c:pt>
                <c:pt idx="981">
                  <c:v>33.147000000001761</c:v>
                </c:pt>
                <c:pt idx="982">
                  <c:v>33.147100000001764</c:v>
                </c:pt>
                <c:pt idx="983">
                  <c:v>33.147200000001767</c:v>
                </c:pt>
                <c:pt idx="984">
                  <c:v>33.147300000001771</c:v>
                </c:pt>
                <c:pt idx="985">
                  <c:v>33.147400000001774</c:v>
                </c:pt>
                <c:pt idx="986">
                  <c:v>33.147500000001777</c:v>
                </c:pt>
                <c:pt idx="987">
                  <c:v>33.147600000001781</c:v>
                </c:pt>
                <c:pt idx="988">
                  <c:v>33.147700000001784</c:v>
                </c:pt>
                <c:pt idx="989">
                  <c:v>33.147800000001787</c:v>
                </c:pt>
                <c:pt idx="990">
                  <c:v>33.14790000000179</c:v>
                </c:pt>
                <c:pt idx="991">
                  <c:v>33.148000000001794</c:v>
                </c:pt>
                <c:pt idx="992">
                  <c:v>33.148100000001797</c:v>
                </c:pt>
                <c:pt idx="993">
                  <c:v>33.1482000000018</c:v>
                </c:pt>
                <c:pt idx="994">
                  <c:v>33.148300000001804</c:v>
                </c:pt>
                <c:pt idx="995">
                  <c:v>33.148400000001807</c:v>
                </c:pt>
                <c:pt idx="996">
                  <c:v>33.14850000000181</c:v>
                </c:pt>
                <c:pt idx="997">
                  <c:v>33.148600000001814</c:v>
                </c:pt>
                <c:pt idx="998">
                  <c:v>33.148700000001817</c:v>
                </c:pt>
                <c:pt idx="999">
                  <c:v>33.14880000000182</c:v>
                </c:pt>
                <c:pt idx="1000">
                  <c:v>33.148900000001824</c:v>
                </c:pt>
              </c:numCache>
            </c:numRef>
          </c:xVal>
          <c:yVal>
            <c:numRef>
              <c:f>Calculs!$Q$4:$Q$1004</c:f>
              <c:numCache>
                <c:formatCode>0.00</c:formatCode>
                <c:ptCount val="1001"/>
                <c:pt idx="0">
                  <c:v>0</c:v>
                </c:pt>
                <c:pt idx="1">
                  <c:v>246.125</c:v>
                </c:pt>
                <c:pt idx="2">
                  <c:v>930.85500000000002</c:v>
                </c:pt>
                <c:pt idx="3">
                  <c:v>1347.2183333333335</c:v>
                </c:pt>
                <c:pt idx="4">
                  <c:v>1302.7349999999999</c:v>
                </c:pt>
                <c:pt idx="5">
                  <c:v>1258.2516666666666</c:v>
                </c:pt>
                <c:pt idx="6">
                  <c:v>1240.356</c:v>
                </c:pt>
                <c:pt idx="7">
                  <c:v>1249.048</c:v>
                </c:pt>
                <c:pt idx="8">
                  <c:v>1257.74</c:v>
                </c:pt>
                <c:pt idx="9">
                  <c:v>1266.432</c:v>
                </c:pt>
                <c:pt idx="10">
                  <c:v>1275.124</c:v>
                </c:pt>
                <c:pt idx="11">
                  <c:v>1281.066</c:v>
                </c:pt>
                <c:pt idx="12">
                  <c:v>1284.258</c:v>
                </c:pt>
                <c:pt idx="13">
                  <c:v>1287.45</c:v>
                </c:pt>
                <c:pt idx="14">
                  <c:v>1290.6420000000001</c:v>
                </c:pt>
                <c:pt idx="15">
                  <c:v>1293.8340000000001</c:v>
                </c:pt>
                <c:pt idx="16">
                  <c:v>1297.0260000000001</c:v>
                </c:pt>
                <c:pt idx="17">
                  <c:v>1300.2180000000001</c:v>
                </c:pt>
                <c:pt idx="18">
                  <c:v>1303.4100000000001</c:v>
                </c:pt>
                <c:pt idx="19">
                  <c:v>1306.6020000000001</c:v>
                </c:pt>
                <c:pt idx="20">
                  <c:v>1309.7940000000001</c:v>
                </c:pt>
                <c:pt idx="21">
                  <c:v>1311.89</c:v>
                </c:pt>
                <c:pt idx="22">
                  <c:v>1312.89</c:v>
                </c:pt>
                <c:pt idx="23">
                  <c:v>1313.89</c:v>
                </c:pt>
                <c:pt idx="24">
                  <c:v>1314.89</c:v>
                </c:pt>
                <c:pt idx="25">
                  <c:v>1315.89</c:v>
                </c:pt>
                <c:pt idx="26">
                  <c:v>1316.89</c:v>
                </c:pt>
                <c:pt idx="27">
                  <c:v>1317.89</c:v>
                </c:pt>
                <c:pt idx="28">
                  <c:v>1318.89</c:v>
                </c:pt>
                <c:pt idx="29">
                  <c:v>1319.89</c:v>
                </c:pt>
                <c:pt idx="30">
                  <c:v>1320.89</c:v>
                </c:pt>
                <c:pt idx="31">
                  <c:v>1321.89</c:v>
                </c:pt>
                <c:pt idx="32">
                  <c:v>1322.89</c:v>
                </c:pt>
                <c:pt idx="33">
                  <c:v>1323.89</c:v>
                </c:pt>
                <c:pt idx="34">
                  <c:v>1324.89</c:v>
                </c:pt>
                <c:pt idx="35">
                  <c:v>1325.89</c:v>
                </c:pt>
                <c:pt idx="36">
                  <c:v>1326.89</c:v>
                </c:pt>
                <c:pt idx="37">
                  <c:v>1327.89</c:v>
                </c:pt>
                <c:pt idx="38">
                  <c:v>1328.89</c:v>
                </c:pt>
                <c:pt idx="39">
                  <c:v>1329.89</c:v>
                </c:pt>
                <c:pt idx="40">
                  <c:v>1330.89</c:v>
                </c:pt>
                <c:pt idx="41">
                  <c:v>1331.0486250000001</c:v>
                </c:pt>
                <c:pt idx="42">
                  <c:v>1330.3658750000002</c:v>
                </c:pt>
                <c:pt idx="43">
                  <c:v>1329.683125</c:v>
                </c:pt>
                <c:pt idx="44">
                  <c:v>1329.0003750000001</c:v>
                </c:pt>
                <c:pt idx="45">
                  <c:v>1328.3176250000001</c:v>
                </c:pt>
                <c:pt idx="46">
                  <c:v>1327.634875</c:v>
                </c:pt>
                <c:pt idx="47">
                  <c:v>1326.952125</c:v>
                </c:pt>
                <c:pt idx="48">
                  <c:v>1326.2693750000001</c:v>
                </c:pt>
                <c:pt idx="49">
                  <c:v>1325.5866250000001</c:v>
                </c:pt>
                <c:pt idx="50">
                  <c:v>1324.903875</c:v>
                </c:pt>
                <c:pt idx="51">
                  <c:v>1324.221125</c:v>
                </c:pt>
                <c:pt idx="52">
                  <c:v>1323.5383750000001</c:v>
                </c:pt>
                <c:pt idx="53">
                  <c:v>1322.8556249999999</c:v>
                </c:pt>
                <c:pt idx="54">
                  <c:v>1322.172875</c:v>
                </c:pt>
                <c:pt idx="55">
                  <c:v>1321.490125</c:v>
                </c:pt>
                <c:pt idx="56">
                  <c:v>1320.8073750000001</c:v>
                </c:pt>
                <c:pt idx="57">
                  <c:v>1320.1246249999999</c:v>
                </c:pt>
                <c:pt idx="58">
                  <c:v>1319.441875</c:v>
                </c:pt>
                <c:pt idx="59">
                  <c:v>1318.759125</c:v>
                </c:pt>
                <c:pt idx="60">
                  <c:v>1318.0763750000001</c:v>
                </c:pt>
                <c:pt idx="61">
                  <c:v>1317.3936249999999</c:v>
                </c:pt>
                <c:pt idx="62">
                  <c:v>1316.710875</c:v>
                </c:pt>
                <c:pt idx="63">
                  <c:v>1316.028125</c:v>
                </c:pt>
                <c:pt idx="64">
                  <c:v>1315.3453749999999</c:v>
                </c:pt>
                <c:pt idx="65">
                  <c:v>1314.6626249999999</c:v>
                </c:pt>
                <c:pt idx="66">
                  <c:v>1313.979875</c:v>
                </c:pt>
                <c:pt idx="67">
                  <c:v>1313.2971250000001</c:v>
                </c:pt>
                <c:pt idx="68">
                  <c:v>1312.6143749999999</c:v>
                </c:pt>
                <c:pt idx="69">
                  <c:v>1311.9316249999999</c:v>
                </c:pt>
                <c:pt idx="70">
                  <c:v>1311.248875</c:v>
                </c:pt>
                <c:pt idx="71">
                  <c:v>1310.5661249999998</c:v>
                </c:pt>
                <c:pt idx="72">
                  <c:v>1309.8833749999999</c:v>
                </c:pt>
                <c:pt idx="73">
                  <c:v>1309.2006249999999</c:v>
                </c:pt>
                <c:pt idx="74">
                  <c:v>1308.517875</c:v>
                </c:pt>
                <c:pt idx="75">
                  <c:v>1307.8351249999998</c:v>
                </c:pt>
                <c:pt idx="76">
                  <c:v>1307.1523749999999</c:v>
                </c:pt>
                <c:pt idx="77">
                  <c:v>1306.469625</c:v>
                </c:pt>
                <c:pt idx="78">
                  <c:v>1305.786875</c:v>
                </c:pt>
                <c:pt idx="79">
                  <c:v>1305.1041249999998</c:v>
                </c:pt>
                <c:pt idx="80">
                  <c:v>1304.4213749999999</c:v>
                </c:pt>
                <c:pt idx="81">
                  <c:v>1302.9069999999999</c:v>
                </c:pt>
                <c:pt idx="82">
                  <c:v>1300.5609999999999</c:v>
                </c:pt>
                <c:pt idx="83">
                  <c:v>1298.2149999999999</c:v>
                </c:pt>
                <c:pt idx="84">
                  <c:v>1295.8689999999997</c:v>
                </c:pt>
                <c:pt idx="85">
                  <c:v>1293.5229999999997</c:v>
                </c:pt>
                <c:pt idx="86">
                  <c:v>1291.1769999999997</c:v>
                </c:pt>
                <c:pt idx="87">
                  <c:v>1288.8309999999997</c:v>
                </c:pt>
                <c:pt idx="88">
                  <c:v>1286.4849999999997</c:v>
                </c:pt>
                <c:pt idx="89">
                  <c:v>1284.1389999999997</c:v>
                </c:pt>
                <c:pt idx="90">
                  <c:v>1281.7929999999997</c:v>
                </c:pt>
                <c:pt idx="91">
                  <c:v>1279.0819999999997</c:v>
                </c:pt>
                <c:pt idx="92">
                  <c:v>1276.0059999999996</c:v>
                </c:pt>
                <c:pt idx="93">
                  <c:v>1272.9299999999996</c:v>
                </c:pt>
                <c:pt idx="94">
                  <c:v>1269.8539999999998</c:v>
                </c:pt>
                <c:pt idx="95">
                  <c:v>1266.7779999999998</c:v>
                </c:pt>
                <c:pt idx="96">
                  <c:v>1263.7019999999998</c:v>
                </c:pt>
                <c:pt idx="97">
                  <c:v>1260.6259999999997</c:v>
                </c:pt>
                <c:pt idx="98">
                  <c:v>1257.5499999999997</c:v>
                </c:pt>
                <c:pt idx="99">
                  <c:v>1254.4739999999997</c:v>
                </c:pt>
                <c:pt idx="100">
                  <c:v>1251.3979999999997</c:v>
                </c:pt>
                <c:pt idx="101">
                  <c:v>1248.2639999999997</c:v>
                </c:pt>
                <c:pt idx="102">
                  <c:v>1245.0719999999997</c:v>
                </c:pt>
                <c:pt idx="103">
                  <c:v>1241.8799999999997</c:v>
                </c:pt>
                <c:pt idx="104">
                  <c:v>1238.6879999999996</c:v>
                </c:pt>
                <c:pt idx="105">
                  <c:v>1235.4959999999996</c:v>
                </c:pt>
                <c:pt idx="106">
                  <c:v>1232.3039999999996</c:v>
                </c:pt>
                <c:pt idx="107">
                  <c:v>1229.1119999999999</c:v>
                </c:pt>
                <c:pt idx="108">
                  <c:v>1225.9199999999998</c:v>
                </c:pt>
                <c:pt idx="109">
                  <c:v>1222.7279999999998</c:v>
                </c:pt>
                <c:pt idx="110">
                  <c:v>1219.5359999999998</c:v>
                </c:pt>
                <c:pt idx="111">
                  <c:v>1217.0074999999999</c:v>
                </c:pt>
                <c:pt idx="112">
                  <c:v>1215.1424999999999</c:v>
                </c:pt>
                <c:pt idx="113">
                  <c:v>1213.2774999999999</c:v>
                </c:pt>
                <c:pt idx="114">
                  <c:v>1211.4124999999999</c:v>
                </c:pt>
                <c:pt idx="115">
                  <c:v>1209.5474999999999</c:v>
                </c:pt>
                <c:pt idx="116">
                  <c:v>1207.6824999999999</c:v>
                </c:pt>
                <c:pt idx="117">
                  <c:v>1205.8174999999999</c:v>
                </c:pt>
                <c:pt idx="118">
                  <c:v>1203.9524999999999</c:v>
                </c:pt>
                <c:pt idx="119">
                  <c:v>1202.0874999999999</c:v>
                </c:pt>
                <c:pt idx="120">
                  <c:v>1200.2224999999999</c:v>
                </c:pt>
                <c:pt idx="121">
                  <c:v>1197.2639999999997</c:v>
                </c:pt>
                <c:pt idx="122">
                  <c:v>1193.2119999999995</c:v>
                </c:pt>
                <c:pt idx="123">
                  <c:v>1189.1599999999996</c:v>
                </c:pt>
                <c:pt idx="124">
                  <c:v>1185.1079999999995</c:v>
                </c:pt>
                <c:pt idx="125">
                  <c:v>1181.0559999999996</c:v>
                </c:pt>
                <c:pt idx="126">
                  <c:v>1177.0039999999997</c:v>
                </c:pt>
                <c:pt idx="127">
                  <c:v>1172.9519999999995</c:v>
                </c:pt>
                <c:pt idx="128">
                  <c:v>1168.8999999999996</c:v>
                </c:pt>
                <c:pt idx="129">
                  <c:v>1164.8479999999995</c:v>
                </c:pt>
                <c:pt idx="130">
                  <c:v>1160.7959999999996</c:v>
                </c:pt>
                <c:pt idx="131">
                  <c:v>1156.4594999999995</c:v>
                </c:pt>
                <c:pt idx="132">
                  <c:v>1151.8384999999994</c:v>
                </c:pt>
                <c:pt idx="133">
                  <c:v>1147.2174999999995</c:v>
                </c:pt>
                <c:pt idx="134">
                  <c:v>1142.5964999999994</c:v>
                </c:pt>
                <c:pt idx="135">
                  <c:v>1137.9754999999996</c:v>
                </c:pt>
                <c:pt idx="136">
                  <c:v>1133.3544999999995</c:v>
                </c:pt>
                <c:pt idx="137">
                  <c:v>1128.7334999999994</c:v>
                </c:pt>
                <c:pt idx="138">
                  <c:v>1124.1124999999995</c:v>
                </c:pt>
                <c:pt idx="139">
                  <c:v>1119.4914999999994</c:v>
                </c:pt>
                <c:pt idx="140">
                  <c:v>1114.8704999999993</c:v>
                </c:pt>
                <c:pt idx="141">
                  <c:v>1106.868333333332</c:v>
                </c:pt>
                <c:pt idx="142">
                  <c:v>1095.4849999999985</c:v>
                </c:pt>
                <c:pt idx="143">
                  <c:v>1084.1016666666653</c:v>
                </c:pt>
                <c:pt idx="144">
                  <c:v>1072.7183333333319</c:v>
                </c:pt>
                <c:pt idx="145">
                  <c:v>1061.3349999999984</c:v>
                </c:pt>
                <c:pt idx="146">
                  <c:v>1049.9516666666652</c:v>
                </c:pt>
                <c:pt idx="147">
                  <c:v>1038.5683333333318</c:v>
                </c:pt>
                <c:pt idx="148">
                  <c:v>1027.1849999999986</c:v>
                </c:pt>
                <c:pt idx="149">
                  <c:v>1015.8016666666653</c:v>
                </c:pt>
                <c:pt idx="150">
                  <c:v>1004.4183333333319</c:v>
                </c:pt>
                <c:pt idx="151">
                  <c:v>993.03499999999849</c:v>
                </c:pt>
                <c:pt idx="152">
                  <c:v>981.65166666666528</c:v>
                </c:pt>
                <c:pt idx="153">
                  <c:v>970.26833333333184</c:v>
                </c:pt>
                <c:pt idx="154">
                  <c:v>958.88499999999851</c:v>
                </c:pt>
                <c:pt idx="155">
                  <c:v>947.50166666666519</c:v>
                </c:pt>
                <c:pt idx="156">
                  <c:v>920.23599999999465</c:v>
                </c:pt>
                <c:pt idx="157">
                  <c:v>877.08799999999474</c:v>
                </c:pt>
                <c:pt idx="158">
                  <c:v>833.93999999999471</c:v>
                </c:pt>
                <c:pt idx="159">
                  <c:v>790.7919999999948</c:v>
                </c:pt>
                <c:pt idx="160">
                  <c:v>747.64399999999478</c:v>
                </c:pt>
                <c:pt idx="161">
                  <c:v>684.3449999999898</c:v>
                </c:pt>
                <c:pt idx="162">
                  <c:v>600.89499999998975</c:v>
                </c:pt>
                <c:pt idx="163">
                  <c:v>519.36499999998978</c:v>
                </c:pt>
                <c:pt idx="164">
                  <c:v>439.75499999998891</c:v>
                </c:pt>
                <c:pt idx="165">
                  <c:v>379.37749999999403</c:v>
                </c:pt>
                <c:pt idx="166">
                  <c:v>338.23249999999405</c:v>
                </c:pt>
                <c:pt idx="167">
                  <c:v>282.46999999998985</c:v>
                </c:pt>
                <c:pt idx="168">
                  <c:v>222.66499999999292</c:v>
                </c:pt>
                <c:pt idx="169">
                  <c:v>132.67499999998114</c:v>
                </c:pt>
                <c:pt idx="170">
                  <c:v>33.649999999990285</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33.100100000000204</c:v>
                </c:pt>
                <c:pt idx="513">
                  <c:v>33.100200000000207</c:v>
                </c:pt>
                <c:pt idx="514">
                  <c:v>33.10030000000021</c:v>
                </c:pt>
                <c:pt idx="515">
                  <c:v>33.100400000000214</c:v>
                </c:pt>
                <c:pt idx="516">
                  <c:v>33.100500000000217</c:v>
                </c:pt>
                <c:pt idx="517">
                  <c:v>33.10060000000022</c:v>
                </c:pt>
                <c:pt idx="518">
                  <c:v>33.100700000000224</c:v>
                </c:pt>
                <c:pt idx="519">
                  <c:v>33.100800000000227</c:v>
                </c:pt>
                <c:pt idx="520">
                  <c:v>33.10090000000023</c:v>
                </c:pt>
                <c:pt idx="521">
                  <c:v>33.101000000000234</c:v>
                </c:pt>
                <c:pt idx="522">
                  <c:v>33.101100000000237</c:v>
                </c:pt>
                <c:pt idx="523">
                  <c:v>33.10120000000024</c:v>
                </c:pt>
                <c:pt idx="524">
                  <c:v>33.101300000000244</c:v>
                </c:pt>
                <c:pt idx="525">
                  <c:v>33.101400000000247</c:v>
                </c:pt>
                <c:pt idx="526">
                  <c:v>33.10150000000025</c:v>
                </c:pt>
                <c:pt idx="527">
                  <c:v>33.101600000000253</c:v>
                </c:pt>
                <c:pt idx="528">
                  <c:v>33.101700000000257</c:v>
                </c:pt>
                <c:pt idx="529">
                  <c:v>33.10180000000026</c:v>
                </c:pt>
                <c:pt idx="530">
                  <c:v>33.101900000000263</c:v>
                </c:pt>
                <c:pt idx="531">
                  <c:v>33.102000000000267</c:v>
                </c:pt>
                <c:pt idx="532">
                  <c:v>33.10210000000027</c:v>
                </c:pt>
                <c:pt idx="533">
                  <c:v>33.102200000000273</c:v>
                </c:pt>
                <c:pt idx="534">
                  <c:v>33.102300000000277</c:v>
                </c:pt>
                <c:pt idx="535">
                  <c:v>33.10240000000028</c:v>
                </c:pt>
                <c:pt idx="536">
                  <c:v>33.102500000000283</c:v>
                </c:pt>
                <c:pt idx="537">
                  <c:v>33.102600000000287</c:v>
                </c:pt>
                <c:pt idx="538">
                  <c:v>33.10270000000029</c:v>
                </c:pt>
                <c:pt idx="539">
                  <c:v>33.102800000000293</c:v>
                </c:pt>
                <c:pt idx="540">
                  <c:v>33.102900000000297</c:v>
                </c:pt>
                <c:pt idx="541">
                  <c:v>33.1030000000003</c:v>
                </c:pt>
                <c:pt idx="542">
                  <c:v>33.103100000000303</c:v>
                </c:pt>
                <c:pt idx="543">
                  <c:v>33.103200000000307</c:v>
                </c:pt>
                <c:pt idx="544">
                  <c:v>33.10330000000031</c:v>
                </c:pt>
                <c:pt idx="545">
                  <c:v>33.103400000000313</c:v>
                </c:pt>
                <c:pt idx="546">
                  <c:v>33.103500000000317</c:v>
                </c:pt>
                <c:pt idx="547">
                  <c:v>33.10360000000032</c:v>
                </c:pt>
                <c:pt idx="548">
                  <c:v>33.103700000000323</c:v>
                </c:pt>
                <c:pt idx="549">
                  <c:v>33.103800000000327</c:v>
                </c:pt>
                <c:pt idx="550">
                  <c:v>33.10390000000033</c:v>
                </c:pt>
                <c:pt idx="551">
                  <c:v>33.104000000000333</c:v>
                </c:pt>
                <c:pt idx="552">
                  <c:v>33.104100000000336</c:v>
                </c:pt>
                <c:pt idx="553">
                  <c:v>33.10420000000034</c:v>
                </c:pt>
                <c:pt idx="554">
                  <c:v>33.104300000000343</c:v>
                </c:pt>
                <c:pt idx="555">
                  <c:v>33.104400000000346</c:v>
                </c:pt>
                <c:pt idx="556">
                  <c:v>33.10450000000035</c:v>
                </c:pt>
                <c:pt idx="557">
                  <c:v>33.104600000000353</c:v>
                </c:pt>
                <c:pt idx="558">
                  <c:v>33.104700000000356</c:v>
                </c:pt>
                <c:pt idx="559">
                  <c:v>33.10480000000036</c:v>
                </c:pt>
                <c:pt idx="560">
                  <c:v>33.104900000000363</c:v>
                </c:pt>
                <c:pt idx="561">
                  <c:v>33.105000000000366</c:v>
                </c:pt>
                <c:pt idx="562">
                  <c:v>33.10510000000037</c:v>
                </c:pt>
                <c:pt idx="563">
                  <c:v>33.105200000000373</c:v>
                </c:pt>
                <c:pt idx="564">
                  <c:v>33.105300000000376</c:v>
                </c:pt>
                <c:pt idx="565">
                  <c:v>33.10540000000038</c:v>
                </c:pt>
                <c:pt idx="566">
                  <c:v>33.105500000000383</c:v>
                </c:pt>
                <c:pt idx="567">
                  <c:v>33.105600000000386</c:v>
                </c:pt>
                <c:pt idx="568">
                  <c:v>33.10570000000039</c:v>
                </c:pt>
                <c:pt idx="569">
                  <c:v>33.105800000000393</c:v>
                </c:pt>
                <c:pt idx="570">
                  <c:v>33.105900000000396</c:v>
                </c:pt>
                <c:pt idx="571">
                  <c:v>33.1060000000004</c:v>
                </c:pt>
                <c:pt idx="572">
                  <c:v>33.106100000000403</c:v>
                </c:pt>
                <c:pt idx="573">
                  <c:v>33.106200000000406</c:v>
                </c:pt>
                <c:pt idx="574">
                  <c:v>33.10630000000041</c:v>
                </c:pt>
                <c:pt idx="575">
                  <c:v>33.106400000000413</c:v>
                </c:pt>
                <c:pt idx="576">
                  <c:v>33.106500000000416</c:v>
                </c:pt>
                <c:pt idx="577">
                  <c:v>33.106600000000419</c:v>
                </c:pt>
                <c:pt idx="578">
                  <c:v>33.106700000000423</c:v>
                </c:pt>
                <c:pt idx="579">
                  <c:v>33.106800000000426</c:v>
                </c:pt>
                <c:pt idx="580">
                  <c:v>33.106900000000429</c:v>
                </c:pt>
                <c:pt idx="581">
                  <c:v>33.107000000000433</c:v>
                </c:pt>
                <c:pt idx="582">
                  <c:v>33.107100000000436</c:v>
                </c:pt>
                <c:pt idx="583">
                  <c:v>33.107200000000439</c:v>
                </c:pt>
                <c:pt idx="584">
                  <c:v>33.107300000000443</c:v>
                </c:pt>
                <c:pt idx="585">
                  <c:v>33.107400000000446</c:v>
                </c:pt>
                <c:pt idx="586">
                  <c:v>33.107500000000449</c:v>
                </c:pt>
                <c:pt idx="587">
                  <c:v>33.107600000000453</c:v>
                </c:pt>
                <c:pt idx="588">
                  <c:v>33.107700000000456</c:v>
                </c:pt>
                <c:pt idx="589">
                  <c:v>33.107800000000459</c:v>
                </c:pt>
                <c:pt idx="590">
                  <c:v>33.107900000000463</c:v>
                </c:pt>
                <c:pt idx="591">
                  <c:v>33.108000000000466</c:v>
                </c:pt>
                <c:pt idx="592">
                  <c:v>33.108100000000469</c:v>
                </c:pt>
                <c:pt idx="593">
                  <c:v>33.108200000000473</c:v>
                </c:pt>
                <c:pt idx="594">
                  <c:v>33.108300000000476</c:v>
                </c:pt>
                <c:pt idx="595">
                  <c:v>33.108400000000479</c:v>
                </c:pt>
                <c:pt idx="596">
                  <c:v>33.108500000000483</c:v>
                </c:pt>
                <c:pt idx="597">
                  <c:v>33.108600000000486</c:v>
                </c:pt>
                <c:pt idx="598">
                  <c:v>33.108700000000489</c:v>
                </c:pt>
                <c:pt idx="599">
                  <c:v>33.108800000000493</c:v>
                </c:pt>
                <c:pt idx="600">
                  <c:v>33.108900000000496</c:v>
                </c:pt>
                <c:pt idx="601">
                  <c:v>33.109000000000499</c:v>
                </c:pt>
                <c:pt idx="602">
                  <c:v>33.109100000000502</c:v>
                </c:pt>
                <c:pt idx="603">
                  <c:v>33.109200000000506</c:v>
                </c:pt>
                <c:pt idx="604">
                  <c:v>33.109300000000509</c:v>
                </c:pt>
                <c:pt idx="605">
                  <c:v>33.109400000000512</c:v>
                </c:pt>
                <c:pt idx="606">
                  <c:v>33.109500000000516</c:v>
                </c:pt>
                <c:pt idx="607">
                  <c:v>33.109600000000519</c:v>
                </c:pt>
                <c:pt idx="608">
                  <c:v>33.109700000000522</c:v>
                </c:pt>
                <c:pt idx="609">
                  <c:v>33.109800000000526</c:v>
                </c:pt>
                <c:pt idx="610">
                  <c:v>33.109900000000529</c:v>
                </c:pt>
                <c:pt idx="611">
                  <c:v>33.110000000000532</c:v>
                </c:pt>
                <c:pt idx="612">
                  <c:v>33.110100000000536</c:v>
                </c:pt>
                <c:pt idx="613">
                  <c:v>33.110200000000539</c:v>
                </c:pt>
                <c:pt idx="614">
                  <c:v>33.110300000000542</c:v>
                </c:pt>
                <c:pt idx="615">
                  <c:v>33.110400000000546</c:v>
                </c:pt>
                <c:pt idx="616">
                  <c:v>33.110500000000549</c:v>
                </c:pt>
                <c:pt idx="617">
                  <c:v>33.110600000000552</c:v>
                </c:pt>
                <c:pt idx="618">
                  <c:v>33.110700000000556</c:v>
                </c:pt>
                <c:pt idx="619">
                  <c:v>33.110800000000559</c:v>
                </c:pt>
                <c:pt idx="620">
                  <c:v>33.110900000000562</c:v>
                </c:pt>
                <c:pt idx="621">
                  <c:v>33.111000000000566</c:v>
                </c:pt>
                <c:pt idx="622">
                  <c:v>33.111100000000569</c:v>
                </c:pt>
                <c:pt idx="623">
                  <c:v>33.111200000000572</c:v>
                </c:pt>
                <c:pt idx="624">
                  <c:v>33.111300000000575</c:v>
                </c:pt>
                <c:pt idx="625">
                  <c:v>33.111400000000579</c:v>
                </c:pt>
                <c:pt idx="626">
                  <c:v>33.111500000000582</c:v>
                </c:pt>
                <c:pt idx="627">
                  <c:v>33.111600000000585</c:v>
                </c:pt>
                <c:pt idx="628">
                  <c:v>33.111700000000589</c:v>
                </c:pt>
                <c:pt idx="629">
                  <c:v>33.111800000000592</c:v>
                </c:pt>
                <c:pt idx="630">
                  <c:v>33.111900000000595</c:v>
                </c:pt>
                <c:pt idx="631">
                  <c:v>33.112000000000599</c:v>
                </c:pt>
                <c:pt idx="632">
                  <c:v>33.112100000000602</c:v>
                </c:pt>
                <c:pt idx="633">
                  <c:v>33.112200000000605</c:v>
                </c:pt>
                <c:pt idx="634">
                  <c:v>33.112300000000609</c:v>
                </c:pt>
                <c:pt idx="635">
                  <c:v>33.112400000000612</c:v>
                </c:pt>
                <c:pt idx="636">
                  <c:v>33.112500000000615</c:v>
                </c:pt>
                <c:pt idx="637">
                  <c:v>33.112600000000619</c:v>
                </c:pt>
                <c:pt idx="638">
                  <c:v>33.112700000000622</c:v>
                </c:pt>
                <c:pt idx="639">
                  <c:v>33.112800000000625</c:v>
                </c:pt>
                <c:pt idx="640">
                  <c:v>33.112900000000629</c:v>
                </c:pt>
                <c:pt idx="641">
                  <c:v>33.113000000000632</c:v>
                </c:pt>
                <c:pt idx="642">
                  <c:v>33.113100000000635</c:v>
                </c:pt>
                <c:pt idx="643">
                  <c:v>33.113200000000639</c:v>
                </c:pt>
                <c:pt idx="644">
                  <c:v>33.113300000000642</c:v>
                </c:pt>
                <c:pt idx="645">
                  <c:v>33.113400000000645</c:v>
                </c:pt>
                <c:pt idx="646">
                  <c:v>33.113500000000649</c:v>
                </c:pt>
                <c:pt idx="647">
                  <c:v>33.113600000000652</c:v>
                </c:pt>
                <c:pt idx="648">
                  <c:v>33.113700000000655</c:v>
                </c:pt>
                <c:pt idx="649">
                  <c:v>33.113800000000658</c:v>
                </c:pt>
                <c:pt idx="650">
                  <c:v>33.113900000000662</c:v>
                </c:pt>
                <c:pt idx="651">
                  <c:v>33.114000000000665</c:v>
                </c:pt>
                <c:pt idx="652">
                  <c:v>33.114100000000668</c:v>
                </c:pt>
                <c:pt idx="653">
                  <c:v>33.114200000000672</c:v>
                </c:pt>
                <c:pt idx="654">
                  <c:v>33.114300000000675</c:v>
                </c:pt>
                <c:pt idx="655">
                  <c:v>33.114400000000678</c:v>
                </c:pt>
                <c:pt idx="656">
                  <c:v>33.114500000000682</c:v>
                </c:pt>
                <c:pt idx="657">
                  <c:v>33.114600000000685</c:v>
                </c:pt>
                <c:pt idx="658">
                  <c:v>33.114700000000688</c:v>
                </c:pt>
                <c:pt idx="659">
                  <c:v>33.114800000000692</c:v>
                </c:pt>
                <c:pt idx="660">
                  <c:v>33.114900000000695</c:v>
                </c:pt>
                <c:pt idx="661">
                  <c:v>33.115000000000698</c:v>
                </c:pt>
                <c:pt idx="662">
                  <c:v>33.115100000000702</c:v>
                </c:pt>
                <c:pt idx="663">
                  <c:v>33.115200000000705</c:v>
                </c:pt>
                <c:pt idx="664">
                  <c:v>33.115300000000708</c:v>
                </c:pt>
                <c:pt idx="665">
                  <c:v>33.115400000000712</c:v>
                </c:pt>
                <c:pt idx="666">
                  <c:v>33.115500000000715</c:v>
                </c:pt>
                <c:pt idx="667">
                  <c:v>33.115600000000718</c:v>
                </c:pt>
                <c:pt idx="668">
                  <c:v>33.115700000000722</c:v>
                </c:pt>
                <c:pt idx="669">
                  <c:v>33.115800000000725</c:v>
                </c:pt>
                <c:pt idx="670">
                  <c:v>33.115900000000728</c:v>
                </c:pt>
                <c:pt idx="671">
                  <c:v>33.116000000000732</c:v>
                </c:pt>
                <c:pt idx="672">
                  <c:v>33.116100000000735</c:v>
                </c:pt>
                <c:pt idx="673">
                  <c:v>33.116200000000738</c:v>
                </c:pt>
                <c:pt idx="674">
                  <c:v>33.116300000000741</c:v>
                </c:pt>
                <c:pt idx="675">
                  <c:v>33.116400000000745</c:v>
                </c:pt>
                <c:pt idx="676">
                  <c:v>33.116500000000748</c:v>
                </c:pt>
                <c:pt idx="677">
                  <c:v>33.116600000000751</c:v>
                </c:pt>
                <c:pt idx="678">
                  <c:v>33.116700000000755</c:v>
                </c:pt>
                <c:pt idx="679">
                  <c:v>33.116800000000758</c:v>
                </c:pt>
                <c:pt idx="680">
                  <c:v>33.116900000000761</c:v>
                </c:pt>
                <c:pt idx="681">
                  <c:v>33.117000000000765</c:v>
                </c:pt>
                <c:pt idx="682">
                  <c:v>33.117100000000768</c:v>
                </c:pt>
                <c:pt idx="683">
                  <c:v>33.117200000000771</c:v>
                </c:pt>
                <c:pt idx="684">
                  <c:v>33.117300000000775</c:v>
                </c:pt>
                <c:pt idx="685">
                  <c:v>33.117400000000778</c:v>
                </c:pt>
                <c:pt idx="686">
                  <c:v>33.117500000000781</c:v>
                </c:pt>
                <c:pt idx="687">
                  <c:v>33.117600000000785</c:v>
                </c:pt>
                <c:pt idx="688">
                  <c:v>33.117700000000788</c:v>
                </c:pt>
                <c:pt idx="689">
                  <c:v>33.117800000000791</c:v>
                </c:pt>
                <c:pt idx="690">
                  <c:v>33.117900000000795</c:v>
                </c:pt>
                <c:pt idx="691">
                  <c:v>33.118000000000798</c:v>
                </c:pt>
                <c:pt idx="692">
                  <c:v>33.118100000000801</c:v>
                </c:pt>
                <c:pt idx="693">
                  <c:v>33.118200000000805</c:v>
                </c:pt>
                <c:pt idx="694">
                  <c:v>33.118300000000808</c:v>
                </c:pt>
                <c:pt idx="695">
                  <c:v>33.118400000000811</c:v>
                </c:pt>
                <c:pt idx="696">
                  <c:v>33.118500000000815</c:v>
                </c:pt>
                <c:pt idx="697">
                  <c:v>33.118600000000818</c:v>
                </c:pt>
                <c:pt idx="698">
                  <c:v>33.118700000000821</c:v>
                </c:pt>
                <c:pt idx="699">
                  <c:v>33.118800000000824</c:v>
                </c:pt>
                <c:pt idx="700">
                  <c:v>33.118900000000828</c:v>
                </c:pt>
                <c:pt idx="701">
                  <c:v>33.119000000000831</c:v>
                </c:pt>
                <c:pt idx="702">
                  <c:v>33.119100000000834</c:v>
                </c:pt>
                <c:pt idx="703">
                  <c:v>33.119200000000838</c:v>
                </c:pt>
                <c:pt idx="704">
                  <c:v>33.119300000000841</c:v>
                </c:pt>
                <c:pt idx="705">
                  <c:v>33.119400000000844</c:v>
                </c:pt>
                <c:pt idx="706">
                  <c:v>33.119500000000848</c:v>
                </c:pt>
                <c:pt idx="707">
                  <c:v>33.119600000000851</c:v>
                </c:pt>
                <c:pt idx="708">
                  <c:v>33.119700000000854</c:v>
                </c:pt>
                <c:pt idx="709">
                  <c:v>33.119800000000858</c:v>
                </c:pt>
                <c:pt idx="710">
                  <c:v>33.119900000000861</c:v>
                </c:pt>
                <c:pt idx="711">
                  <c:v>33.120000000000864</c:v>
                </c:pt>
                <c:pt idx="712">
                  <c:v>33.120100000000868</c:v>
                </c:pt>
                <c:pt idx="713">
                  <c:v>33.120200000000871</c:v>
                </c:pt>
                <c:pt idx="714">
                  <c:v>33.120300000000874</c:v>
                </c:pt>
                <c:pt idx="715">
                  <c:v>33.120400000000878</c:v>
                </c:pt>
                <c:pt idx="716">
                  <c:v>33.120500000000881</c:v>
                </c:pt>
                <c:pt idx="717">
                  <c:v>33.120600000000884</c:v>
                </c:pt>
                <c:pt idx="718">
                  <c:v>33.120700000000888</c:v>
                </c:pt>
                <c:pt idx="719">
                  <c:v>33.120800000000891</c:v>
                </c:pt>
                <c:pt idx="720">
                  <c:v>33.120900000000894</c:v>
                </c:pt>
                <c:pt idx="721">
                  <c:v>33.121000000000898</c:v>
                </c:pt>
                <c:pt idx="722">
                  <c:v>33.121100000000901</c:v>
                </c:pt>
                <c:pt idx="723">
                  <c:v>33.121200000000904</c:v>
                </c:pt>
                <c:pt idx="724">
                  <c:v>33.121300000000907</c:v>
                </c:pt>
                <c:pt idx="725">
                  <c:v>33.121400000000911</c:v>
                </c:pt>
                <c:pt idx="726">
                  <c:v>33.121500000000914</c:v>
                </c:pt>
                <c:pt idx="727">
                  <c:v>33.121600000000917</c:v>
                </c:pt>
                <c:pt idx="728">
                  <c:v>33.121700000000921</c:v>
                </c:pt>
                <c:pt idx="729">
                  <c:v>33.121800000000924</c:v>
                </c:pt>
                <c:pt idx="730">
                  <c:v>33.121900000000927</c:v>
                </c:pt>
                <c:pt idx="731">
                  <c:v>33.122000000000931</c:v>
                </c:pt>
                <c:pt idx="732">
                  <c:v>33.122100000000934</c:v>
                </c:pt>
                <c:pt idx="733">
                  <c:v>33.122200000000937</c:v>
                </c:pt>
                <c:pt idx="734">
                  <c:v>33.122300000000941</c:v>
                </c:pt>
                <c:pt idx="735">
                  <c:v>33.122400000000944</c:v>
                </c:pt>
                <c:pt idx="736">
                  <c:v>33.122500000000947</c:v>
                </c:pt>
                <c:pt idx="737">
                  <c:v>33.122600000000951</c:v>
                </c:pt>
                <c:pt idx="738">
                  <c:v>33.122700000000954</c:v>
                </c:pt>
                <c:pt idx="739">
                  <c:v>33.122800000000957</c:v>
                </c:pt>
                <c:pt idx="740">
                  <c:v>33.122900000000961</c:v>
                </c:pt>
                <c:pt idx="741">
                  <c:v>33.123000000000964</c:v>
                </c:pt>
                <c:pt idx="742">
                  <c:v>33.123100000000967</c:v>
                </c:pt>
                <c:pt idx="743">
                  <c:v>33.123200000000971</c:v>
                </c:pt>
                <c:pt idx="744">
                  <c:v>33.123300000000974</c:v>
                </c:pt>
                <c:pt idx="745">
                  <c:v>33.123400000000977</c:v>
                </c:pt>
                <c:pt idx="746">
                  <c:v>33.12350000000098</c:v>
                </c:pt>
                <c:pt idx="747">
                  <c:v>33.123600000000984</c:v>
                </c:pt>
                <c:pt idx="748">
                  <c:v>33.123700000000987</c:v>
                </c:pt>
                <c:pt idx="749">
                  <c:v>33.12380000000099</c:v>
                </c:pt>
                <c:pt idx="750">
                  <c:v>33.123900000000994</c:v>
                </c:pt>
                <c:pt idx="751">
                  <c:v>33.124000000000997</c:v>
                </c:pt>
                <c:pt idx="752">
                  <c:v>33.124100000001</c:v>
                </c:pt>
                <c:pt idx="753">
                  <c:v>33.124200000001004</c:v>
                </c:pt>
                <c:pt idx="754">
                  <c:v>33.124300000001007</c:v>
                </c:pt>
                <c:pt idx="755">
                  <c:v>33.12440000000101</c:v>
                </c:pt>
                <c:pt idx="756">
                  <c:v>33.124500000001014</c:v>
                </c:pt>
                <c:pt idx="757">
                  <c:v>33.124600000001017</c:v>
                </c:pt>
                <c:pt idx="758">
                  <c:v>33.12470000000102</c:v>
                </c:pt>
                <c:pt idx="759">
                  <c:v>33.124800000001024</c:v>
                </c:pt>
                <c:pt idx="760">
                  <c:v>33.124900000001027</c:v>
                </c:pt>
                <c:pt idx="761">
                  <c:v>33.12500000000103</c:v>
                </c:pt>
                <c:pt idx="762">
                  <c:v>33.125100000001034</c:v>
                </c:pt>
                <c:pt idx="763">
                  <c:v>33.125200000001037</c:v>
                </c:pt>
                <c:pt idx="764">
                  <c:v>33.12530000000104</c:v>
                </c:pt>
                <c:pt idx="765">
                  <c:v>33.125400000001044</c:v>
                </c:pt>
                <c:pt idx="766">
                  <c:v>33.125500000001047</c:v>
                </c:pt>
                <c:pt idx="767">
                  <c:v>33.12560000000105</c:v>
                </c:pt>
                <c:pt idx="768">
                  <c:v>33.125700000001054</c:v>
                </c:pt>
                <c:pt idx="769">
                  <c:v>33.125800000001057</c:v>
                </c:pt>
                <c:pt idx="770">
                  <c:v>33.12590000000106</c:v>
                </c:pt>
                <c:pt idx="771">
                  <c:v>33.126000000001063</c:v>
                </c:pt>
                <c:pt idx="772">
                  <c:v>33.126100000001067</c:v>
                </c:pt>
                <c:pt idx="773">
                  <c:v>33.12620000000107</c:v>
                </c:pt>
                <c:pt idx="774">
                  <c:v>33.126300000001073</c:v>
                </c:pt>
                <c:pt idx="775">
                  <c:v>33.126400000001077</c:v>
                </c:pt>
                <c:pt idx="776">
                  <c:v>33.12650000000108</c:v>
                </c:pt>
                <c:pt idx="777">
                  <c:v>33.126600000001083</c:v>
                </c:pt>
                <c:pt idx="778">
                  <c:v>33.126700000001087</c:v>
                </c:pt>
                <c:pt idx="779">
                  <c:v>33.12680000000109</c:v>
                </c:pt>
                <c:pt idx="780">
                  <c:v>33.126900000001093</c:v>
                </c:pt>
                <c:pt idx="781">
                  <c:v>33.127000000001097</c:v>
                </c:pt>
                <c:pt idx="782">
                  <c:v>33.1271000000011</c:v>
                </c:pt>
                <c:pt idx="783">
                  <c:v>33.127200000001103</c:v>
                </c:pt>
                <c:pt idx="784">
                  <c:v>33.127300000001107</c:v>
                </c:pt>
                <c:pt idx="785">
                  <c:v>33.12740000000111</c:v>
                </c:pt>
                <c:pt idx="786">
                  <c:v>33.127500000001113</c:v>
                </c:pt>
                <c:pt idx="787">
                  <c:v>33.127600000001117</c:v>
                </c:pt>
                <c:pt idx="788">
                  <c:v>33.12770000000112</c:v>
                </c:pt>
                <c:pt idx="789">
                  <c:v>33.127800000001123</c:v>
                </c:pt>
                <c:pt idx="790">
                  <c:v>33.127900000001127</c:v>
                </c:pt>
                <c:pt idx="791">
                  <c:v>33.12800000000113</c:v>
                </c:pt>
                <c:pt idx="792">
                  <c:v>33.128100000001133</c:v>
                </c:pt>
                <c:pt idx="793">
                  <c:v>33.128200000001137</c:v>
                </c:pt>
                <c:pt idx="794">
                  <c:v>33.12830000000114</c:v>
                </c:pt>
                <c:pt idx="795">
                  <c:v>33.128400000001143</c:v>
                </c:pt>
                <c:pt idx="796">
                  <c:v>33.128500000001146</c:v>
                </c:pt>
                <c:pt idx="797">
                  <c:v>33.12860000000115</c:v>
                </c:pt>
                <c:pt idx="798">
                  <c:v>33.128700000001153</c:v>
                </c:pt>
                <c:pt idx="799">
                  <c:v>33.128800000001156</c:v>
                </c:pt>
                <c:pt idx="800">
                  <c:v>33.12890000000116</c:v>
                </c:pt>
                <c:pt idx="801">
                  <c:v>33.129000000001163</c:v>
                </c:pt>
                <c:pt idx="802">
                  <c:v>33.129100000001166</c:v>
                </c:pt>
                <c:pt idx="803">
                  <c:v>33.12920000000117</c:v>
                </c:pt>
                <c:pt idx="804">
                  <c:v>33.129300000001173</c:v>
                </c:pt>
                <c:pt idx="805">
                  <c:v>33.129400000001176</c:v>
                </c:pt>
                <c:pt idx="806">
                  <c:v>33.12950000000118</c:v>
                </c:pt>
                <c:pt idx="807">
                  <c:v>33.129600000001183</c:v>
                </c:pt>
                <c:pt idx="808">
                  <c:v>33.129700000001186</c:v>
                </c:pt>
                <c:pt idx="809">
                  <c:v>33.12980000000119</c:v>
                </c:pt>
                <c:pt idx="810">
                  <c:v>33.129900000001193</c:v>
                </c:pt>
                <c:pt idx="811">
                  <c:v>33.130000000001196</c:v>
                </c:pt>
                <c:pt idx="812">
                  <c:v>33.1301000000012</c:v>
                </c:pt>
                <c:pt idx="813">
                  <c:v>33.130200000001203</c:v>
                </c:pt>
                <c:pt idx="814">
                  <c:v>33.130300000001206</c:v>
                </c:pt>
                <c:pt idx="815">
                  <c:v>33.13040000000121</c:v>
                </c:pt>
                <c:pt idx="816">
                  <c:v>33.130500000001213</c:v>
                </c:pt>
                <c:pt idx="817">
                  <c:v>33.130600000001216</c:v>
                </c:pt>
                <c:pt idx="818">
                  <c:v>33.13070000000122</c:v>
                </c:pt>
                <c:pt idx="819">
                  <c:v>33.130800000001223</c:v>
                </c:pt>
                <c:pt idx="820">
                  <c:v>33.130900000001226</c:v>
                </c:pt>
                <c:pt idx="821">
                  <c:v>33.131000000001229</c:v>
                </c:pt>
                <c:pt idx="822">
                  <c:v>33.131100000001233</c:v>
                </c:pt>
                <c:pt idx="823">
                  <c:v>33.131200000001236</c:v>
                </c:pt>
                <c:pt idx="824">
                  <c:v>33.131300000001239</c:v>
                </c:pt>
                <c:pt idx="825">
                  <c:v>33.131400000001243</c:v>
                </c:pt>
                <c:pt idx="826">
                  <c:v>33.131500000001246</c:v>
                </c:pt>
                <c:pt idx="827">
                  <c:v>33.131600000001249</c:v>
                </c:pt>
                <c:pt idx="828">
                  <c:v>33.131700000001253</c:v>
                </c:pt>
                <c:pt idx="829">
                  <c:v>33.131800000001256</c:v>
                </c:pt>
                <c:pt idx="830">
                  <c:v>33.131900000001259</c:v>
                </c:pt>
                <c:pt idx="831">
                  <c:v>33.132000000001263</c:v>
                </c:pt>
                <c:pt idx="832">
                  <c:v>33.132100000001266</c:v>
                </c:pt>
                <c:pt idx="833">
                  <c:v>33.132200000001269</c:v>
                </c:pt>
                <c:pt idx="834">
                  <c:v>33.132300000001273</c:v>
                </c:pt>
                <c:pt idx="835">
                  <c:v>33.132400000001276</c:v>
                </c:pt>
                <c:pt idx="836">
                  <c:v>33.132500000001279</c:v>
                </c:pt>
                <c:pt idx="837">
                  <c:v>33.132600000001283</c:v>
                </c:pt>
                <c:pt idx="838">
                  <c:v>33.132700000001286</c:v>
                </c:pt>
                <c:pt idx="839">
                  <c:v>33.132800000001289</c:v>
                </c:pt>
                <c:pt idx="840">
                  <c:v>33.132900000001293</c:v>
                </c:pt>
                <c:pt idx="841">
                  <c:v>33.133000000001296</c:v>
                </c:pt>
                <c:pt idx="842">
                  <c:v>33.133100000001299</c:v>
                </c:pt>
                <c:pt idx="843">
                  <c:v>33.133200000001302</c:v>
                </c:pt>
                <c:pt idx="844">
                  <c:v>33.133300000001306</c:v>
                </c:pt>
                <c:pt idx="845">
                  <c:v>33.133400000001309</c:v>
                </c:pt>
                <c:pt idx="846">
                  <c:v>33.133500000001312</c:v>
                </c:pt>
                <c:pt idx="847">
                  <c:v>33.133600000001316</c:v>
                </c:pt>
                <c:pt idx="848">
                  <c:v>33.133700000001319</c:v>
                </c:pt>
                <c:pt idx="849">
                  <c:v>33.133800000001322</c:v>
                </c:pt>
                <c:pt idx="850">
                  <c:v>33.133900000001326</c:v>
                </c:pt>
                <c:pt idx="851">
                  <c:v>33.134000000001329</c:v>
                </c:pt>
                <c:pt idx="852">
                  <c:v>33.134100000001332</c:v>
                </c:pt>
                <c:pt idx="853">
                  <c:v>33.134200000001336</c:v>
                </c:pt>
                <c:pt idx="854">
                  <c:v>33.134300000001339</c:v>
                </c:pt>
                <c:pt idx="855">
                  <c:v>33.134400000001342</c:v>
                </c:pt>
                <c:pt idx="856">
                  <c:v>33.134500000001346</c:v>
                </c:pt>
                <c:pt idx="857">
                  <c:v>33.134600000001349</c:v>
                </c:pt>
                <c:pt idx="858">
                  <c:v>33.134700000001352</c:v>
                </c:pt>
                <c:pt idx="859">
                  <c:v>33.134800000001356</c:v>
                </c:pt>
                <c:pt idx="860">
                  <c:v>33.134900000001359</c:v>
                </c:pt>
                <c:pt idx="861">
                  <c:v>33.135000000001362</c:v>
                </c:pt>
                <c:pt idx="862">
                  <c:v>33.135100000001366</c:v>
                </c:pt>
                <c:pt idx="863">
                  <c:v>33.135200000001369</c:v>
                </c:pt>
                <c:pt idx="864">
                  <c:v>33.135300000001372</c:v>
                </c:pt>
                <c:pt idx="865">
                  <c:v>33.135400000001376</c:v>
                </c:pt>
                <c:pt idx="866">
                  <c:v>33.135500000001379</c:v>
                </c:pt>
                <c:pt idx="867">
                  <c:v>33.135600000001382</c:v>
                </c:pt>
                <c:pt idx="868">
                  <c:v>33.135700000001385</c:v>
                </c:pt>
                <c:pt idx="869">
                  <c:v>33.135800000001389</c:v>
                </c:pt>
                <c:pt idx="870">
                  <c:v>33.135900000001392</c:v>
                </c:pt>
                <c:pt idx="871">
                  <c:v>33.136000000001395</c:v>
                </c:pt>
                <c:pt idx="872">
                  <c:v>33.136100000001399</c:v>
                </c:pt>
                <c:pt idx="873">
                  <c:v>33.136200000001402</c:v>
                </c:pt>
                <c:pt idx="874">
                  <c:v>33.136300000001405</c:v>
                </c:pt>
                <c:pt idx="875">
                  <c:v>33.136400000001409</c:v>
                </c:pt>
                <c:pt idx="876">
                  <c:v>33.136500000001412</c:v>
                </c:pt>
                <c:pt idx="877">
                  <c:v>33.136600000001415</c:v>
                </c:pt>
                <c:pt idx="878">
                  <c:v>33.136700000001419</c:v>
                </c:pt>
                <c:pt idx="879">
                  <c:v>33.136800000001422</c:v>
                </c:pt>
                <c:pt idx="880">
                  <c:v>33.136900000001425</c:v>
                </c:pt>
                <c:pt idx="881">
                  <c:v>33.137000000001429</c:v>
                </c:pt>
                <c:pt idx="882">
                  <c:v>33.137100000001432</c:v>
                </c:pt>
                <c:pt idx="883">
                  <c:v>33.137200000001435</c:v>
                </c:pt>
                <c:pt idx="884">
                  <c:v>33.137300000001439</c:v>
                </c:pt>
                <c:pt idx="885">
                  <c:v>33.137400000001442</c:v>
                </c:pt>
                <c:pt idx="886">
                  <c:v>33.137500000001445</c:v>
                </c:pt>
                <c:pt idx="887">
                  <c:v>33.137600000001449</c:v>
                </c:pt>
                <c:pt idx="888">
                  <c:v>33.137700000001452</c:v>
                </c:pt>
                <c:pt idx="889">
                  <c:v>33.137800000001455</c:v>
                </c:pt>
                <c:pt idx="890">
                  <c:v>33.137900000001459</c:v>
                </c:pt>
                <c:pt idx="891">
                  <c:v>33.138000000001462</c:v>
                </c:pt>
                <c:pt idx="892">
                  <c:v>33.138100000001465</c:v>
                </c:pt>
                <c:pt idx="893">
                  <c:v>33.138200000001468</c:v>
                </c:pt>
                <c:pt idx="894">
                  <c:v>33.138300000001472</c:v>
                </c:pt>
                <c:pt idx="895">
                  <c:v>33.138400000001475</c:v>
                </c:pt>
                <c:pt idx="896">
                  <c:v>33.138500000001478</c:v>
                </c:pt>
                <c:pt idx="897">
                  <c:v>33.138600000001482</c:v>
                </c:pt>
                <c:pt idx="898">
                  <c:v>33.138700000001485</c:v>
                </c:pt>
                <c:pt idx="899">
                  <c:v>33.138800000001488</c:v>
                </c:pt>
                <c:pt idx="900">
                  <c:v>33.138900000001492</c:v>
                </c:pt>
                <c:pt idx="901">
                  <c:v>33.139000000001495</c:v>
                </c:pt>
                <c:pt idx="902">
                  <c:v>33.139100000001498</c:v>
                </c:pt>
                <c:pt idx="903">
                  <c:v>33.139200000001502</c:v>
                </c:pt>
                <c:pt idx="904">
                  <c:v>33.139300000001505</c:v>
                </c:pt>
                <c:pt idx="905">
                  <c:v>33.139400000001508</c:v>
                </c:pt>
                <c:pt idx="906">
                  <c:v>33.139500000001512</c:v>
                </c:pt>
                <c:pt idx="907">
                  <c:v>33.139600000001515</c:v>
                </c:pt>
                <c:pt idx="908">
                  <c:v>33.139700000001518</c:v>
                </c:pt>
                <c:pt idx="909">
                  <c:v>33.139800000001522</c:v>
                </c:pt>
                <c:pt idx="910">
                  <c:v>33.139900000001525</c:v>
                </c:pt>
                <c:pt idx="911">
                  <c:v>33.140000000001528</c:v>
                </c:pt>
                <c:pt idx="912">
                  <c:v>33.140100000001532</c:v>
                </c:pt>
                <c:pt idx="913">
                  <c:v>33.140200000001535</c:v>
                </c:pt>
                <c:pt idx="914">
                  <c:v>33.140300000001538</c:v>
                </c:pt>
                <c:pt idx="915">
                  <c:v>33.140400000001542</c:v>
                </c:pt>
                <c:pt idx="916">
                  <c:v>33.140500000001545</c:v>
                </c:pt>
                <c:pt idx="917">
                  <c:v>33.140600000001548</c:v>
                </c:pt>
                <c:pt idx="918">
                  <c:v>33.140700000001551</c:v>
                </c:pt>
                <c:pt idx="919">
                  <c:v>33.140800000001555</c:v>
                </c:pt>
                <c:pt idx="920">
                  <c:v>33.140900000001558</c:v>
                </c:pt>
                <c:pt idx="921">
                  <c:v>33.141000000001561</c:v>
                </c:pt>
                <c:pt idx="922">
                  <c:v>33.141100000001565</c:v>
                </c:pt>
                <c:pt idx="923">
                  <c:v>33.141200000001568</c:v>
                </c:pt>
                <c:pt idx="924">
                  <c:v>33.141300000001571</c:v>
                </c:pt>
                <c:pt idx="925">
                  <c:v>33.141400000001575</c:v>
                </c:pt>
                <c:pt idx="926">
                  <c:v>33.141500000001578</c:v>
                </c:pt>
                <c:pt idx="927">
                  <c:v>33.141600000001581</c:v>
                </c:pt>
                <c:pt idx="928">
                  <c:v>33.141700000001585</c:v>
                </c:pt>
                <c:pt idx="929">
                  <c:v>33.141800000001588</c:v>
                </c:pt>
                <c:pt idx="930">
                  <c:v>33.141900000001591</c:v>
                </c:pt>
                <c:pt idx="931">
                  <c:v>33.142000000001595</c:v>
                </c:pt>
                <c:pt idx="932">
                  <c:v>33.142100000001598</c:v>
                </c:pt>
                <c:pt idx="933">
                  <c:v>33.142200000001601</c:v>
                </c:pt>
                <c:pt idx="934">
                  <c:v>33.142300000001605</c:v>
                </c:pt>
                <c:pt idx="935">
                  <c:v>33.142400000001608</c:v>
                </c:pt>
                <c:pt idx="936">
                  <c:v>33.142500000001611</c:v>
                </c:pt>
                <c:pt idx="937">
                  <c:v>33.142600000001615</c:v>
                </c:pt>
                <c:pt idx="938">
                  <c:v>33.142700000001618</c:v>
                </c:pt>
                <c:pt idx="939">
                  <c:v>33.142800000001621</c:v>
                </c:pt>
                <c:pt idx="940">
                  <c:v>33.142900000001625</c:v>
                </c:pt>
                <c:pt idx="941">
                  <c:v>33.143000000001628</c:v>
                </c:pt>
                <c:pt idx="942">
                  <c:v>33.143100000001631</c:v>
                </c:pt>
                <c:pt idx="943">
                  <c:v>33.143200000001634</c:v>
                </c:pt>
                <c:pt idx="944">
                  <c:v>33.143300000001638</c:v>
                </c:pt>
                <c:pt idx="945">
                  <c:v>33.143400000001641</c:v>
                </c:pt>
                <c:pt idx="946">
                  <c:v>33.143500000001644</c:v>
                </c:pt>
                <c:pt idx="947">
                  <c:v>33.143600000001648</c:v>
                </c:pt>
                <c:pt idx="948">
                  <c:v>33.143700000001651</c:v>
                </c:pt>
                <c:pt idx="949">
                  <c:v>33.143800000001654</c:v>
                </c:pt>
                <c:pt idx="950">
                  <c:v>33.143900000001658</c:v>
                </c:pt>
                <c:pt idx="951">
                  <c:v>33.144000000001661</c:v>
                </c:pt>
                <c:pt idx="952">
                  <c:v>33.144100000001664</c:v>
                </c:pt>
                <c:pt idx="953">
                  <c:v>33.144200000001668</c:v>
                </c:pt>
                <c:pt idx="954">
                  <c:v>33.144300000001671</c:v>
                </c:pt>
                <c:pt idx="955">
                  <c:v>33.144400000001674</c:v>
                </c:pt>
                <c:pt idx="956">
                  <c:v>33.144500000001678</c:v>
                </c:pt>
                <c:pt idx="957">
                  <c:v>33.144600000001681</c:v>
                </c:pt>
                <c:pt idx="958">
                  <c:v>33.144700000001684</c:v>
                </c:pt>
                <c:pt idx="959">
                  <c:v>33.144800000001688</c:v>
                </c:pt>
                <c:pt idx="960">
                  <c:v>33.144900000001691</c:v>
                </c:pt>
                <c:pt idx="961">
                  <c:v>33.145000000001694</c:v>
                </c:pt>
                <c:pt idx="962">
                  <c:v>33.145100000001698</c:v>
                </c:pt>
                <c:pt idx="963">
                  <c:v>33.145200000001701</c:v>
                </c:pt>
                <c:pt idx="964">
                  <c:v>33.145300000001704</c:v>
                </c:pt>
                <c:pt idx="965">
                  <c:v>33.145400000001707</c:v>
                </c:pt>
                <c:pt idx="966">
                  <c:v>33.145500000001711</c:v>
                </c:pt>
                <c:pt idx="967">
                  <c:v>33.145600000001714</c:v>
                </c:pt>
                <c:pt idx="968">
                  <c:v>33.145700000001717</c:v>
                </c:pt>
                <c:pt idx="969">
                  <c:v>33.145800000001721</c:v>
                </c:pt>
                <c:pt idx="970">
                  <c:v>33.145900000001724</c:v>
                </c:pt>
                <c:pt idx="971">
                  <c:v>33.146000000001727</c:v>
                </c:pt>
                <c:pt idx="972">
                  <c:v>33.146100000001731</c:v>
                </c:pt>
                <c:pt idx="973">
                  <c:v>33.146200000001734</c:v>
                </c:pt>
                <c:pt idx="974">
                  <c:v>33.146300000001737</c:v>
                </c:pt>
                <c:pt idx="975">
                  <c:v>33.146400000001741</c:v>
                </c:pt>
                <c:pt idx="976">
                  <c:v>33.146500000001744</c:v>
                </c:pt>
                <c:pt idx="977">
                  <c:v>33.146600000001747</c:v>
                </c:pt>
                <c:pt idx="978">
                  <c:v>33.146700000001751</c:v>
                </c:pt>
                <c:pt idx="979">
                  <c:v>33.146800000001754</c:v>
                </c:pt>
                <c:pt idx="980">
                  <c:v>33.146900000001757</c:v>
                </c:pt>
                <c:pt idx="981">
                  <c:v>33.147000000001761</c:v>
                </c:pt>
                <c:pt idx="982">
                  <c:v>33.147100000001764</c:v>
                </c:pt>
                <c:pt idx="983">
                  <c:v>33.147200000001767</c:v>
                </c:pt>
                <c:pt idx="984">
                  <c:v>33.147300000001771</c:v>
                </c:pt>
                <c:pt idx="985">
                  <c:v>33.147400000001774</c:v>
                </c:pt>
                <c:pt idx="986">
                  <c:v>33.147500000001777</c:v>
                </c:pt>
                <c:pt idx="987">
                  <c:v>33.147600000001781</c:v>
                </c:pt>
                <c:pt idx="988">
                  <c:v>33.147700000001784</c:v>
                </c:pt>
                <c:pt idx="989">
                  <c:v>33.147800000001787</c:v>
                </c:pt>
                <c:pt idx="990">
                  <c:v>33.14790000000179</c:v>
                </c:pt>
                <c:pt idx="991">
                  <c:v>33.148000000001794</c:v>
                </c:pt>
                <c:pt idx="992">
                  <c:v>33.148100000001797</c:v>
                </c:pt>
                <c:pt idx="993">
                  <c:v>33.1482000000018</c:v>
                </c:pt>
                <c:pt idx="994">
                  <c:v>33.148300000001804</c:v>
                </c:pt>
                <c:pt idx="995">
                  <c:v>33.148400000001807</c:v>
                </c:pt>
                <c:pt idx="996">
                  <c:v>33.14850000000181</c:v>
                </c:pt>
                <c:pt idx="997">
                  <c:v>33.148600000001814</c:v>
                </c:pt>
                <c:pt idx="998">
                  <c:v>33.148700000001817</c:v>
                </c:pt>
                <c:pt idx="999">
                  <c:v>33.14880000000182</c:v>
                </c:pt>
                <c:pt idx="1000">
                  <c:v>33.148900000001824</c:v>
                </c:pt>
              </c:numCache>
            </c:numRef>
          </c:xVal>
          <c:yVal>
            <c:numRef>
              <c:f>Calculs!$T$4:$T$1004</c:f>
              <c:numCache>
                <c:formatCode>0.00</c:formatCode>
                <c:ptCount val="1001"/>
                <c:pt idx="0">
                  <c:v>93.508920000000003</c:v>
                </c:pt>
                <c:pt idx="1">
                  <c:v>93.497054448031818</c:v>
                </c:pt>
                <c:pt idx="2">
                  <c:v>93.452178436341256</c:v>
                </c:pt>
                <c:pt idx="3">
                  <c:v>93.387229775511784</c:v>
                </c:pt>
                <c:pt idx="4">
                  <c:v>93.324425631912931</c:v>
                </c:pt>
                <c:pt idx="5">
                  <c:v>93.263766005544682</c:v>
                </c:pt>
                <c:pt idx="6">
                  <c:v>93.203969119502844</c:v>
                </c:pt>
                <c:pt idx="7">
                  <c:v>93.143753196883225</c:v>
                </c:pt>
                <c:pt idx="8">
                  <c:v>93.083118237685824</c:v>
                </c:pt>
                <c:pt idx="9">
                  <c:v>93.022064241910627</c:v>
                </c:pt>
                <c:pt idx="10">
                  <c:v>92.960591209557663</c:v>
                </c:pt>
                <c:pt idx="11">
                  <c:v>92.898831716626546</c:v>
                </c:pt>
                <c:pt idx="12">
                  <c:v>92.836918339116934</c:v>
                </c:pt>
                <c:pt idx="13">
                  <c:v>92.774851077028828</c:v>
                </c:pt>
                <c:pt idx="14">
                  <c:v>92.712629930362226</c:v>
                </c:pt>
                <c:pt idx="15">
                  <c:v>92.65025489911713</c:v>
                </c:pt>
                <c:pt idx="16">
                  <c:v>92.587725983293524</c:v>
                </c:pt>
                <c:pt idx="17">
                  <c:v>92.525043182891437</c:v>
                </c:pt>
                <c:pt idx="18">
                  <c:v>92.462206497910827</c:v>
                </c:pt>
                <c:pt idx="19">
                  <c:v>92.399215928351751</c:v>
                </c:pt>
                <c:pt idx="20">
                  <c:v>92.336071474214179</c:v>
                </c:pt>
                <c:pt idx="21">
                  <c:v>92.272825973060137</c:v>
                </c:pt>
                <c:pt idx="22">
                  <c:v>92.209532262451688</c:v>
                </c:pt>
                <c:pt idx="23">
                  <c:v>92.146190342388806</c:v>
                </c:pt>
                <c:pt idx="24">
                  <c:v>92.082800212871518</c:v>
                </c:pt>
                <c:pt idx="25">
                  <c:v>92.019361873899811</c:v>
                </c:pt>
                <c:pt idx="26">
                  <c:v>91.955875325473698</c:v>
                </c:pt>
                <c:pt idx="27">
                  <c:v>91.892340567593166</c:v>
                </c:pt>
                <c:pt idx="28">
                  <c:v>91.828757600258214</c:v>
                </c:pt>
                <c:pt idx="29">
                  <c:v>91.765126423468857</c:v>
                </c:pt>
                <c:pt idx="30">
                  <c:v>91.701447037225066</c:v>
                </c:pt>
                <c:pt idx="31">
                  <c:v>91.637719441526855</c:v>
                </c:pt>
                <c:pt idx="32">
                  <c:v>91.573943636374239</c:v>
                </c:pt>
                <c:pt idx="33">
                  <c:v>91.510119621767203</c:v>
                </c:pt>
                <c:pt idx="34">
                  <c:v>91.446247397705761</c:v>
                </c:pt>
                <c:pt idx="35">
                  <c:v>91.3823269641899</c:v>
                </c:pt>
                <c:pt idx="36">
                  <c:v>91.31835832121962</c:v>
                </c:pt>
                <c:pt idx="37">
                  <c:v>91.254341468794919</c:v>
                </c:pt>
                <c:pt idx="38">
                  <c:v>91.1902764069158</c:v>
                </c:pt>
                <c:pt idx="39">
                  <c:v>91.126163135582274</c:v>
                </c:pt>
                <c:pt idx="40">
                  <c:v>91.062001654794315</c:v>
                </c:pt>
                <c:pt idx="41">
                  <c:v>90.997832526781664</c:v>
                </c:pt>
                <c:pt idx="42">
                  <c:v>90.933696313774007</c:v>
                </c:pt>
                <c:pt idx="43">
                  <c:v>90.869593015771358</c:v>
                </c:pt>
                <c:pt idx="44">
                  <c:v>90.805522632773716</c:v>
                </c:pt>
                <c:pt idx="45">
                  <c:v>90.741485164781082</c:v>
                </c:pt>
                <c:pt idx="46">
                  <c:v>90.677480611793428</c:v>
                </c:pt>
                <c:pt idx="47">
                  <c:v>90.613508973810795</c:v>
                </c:pt>
                <c:pt idx="48">
                  <c:v>90.549570250833156</c:v>
                </c:pt>
                <c:pt idx="49">
                  <c:v>90.485664442860525</c:v>
                </c:pt>
                <c:pt idx="50">
                  <c:v>90.421791549892887</c:v>
                </c:pt>
                <c:pt idx="51">
                  <c:v>90.357951571930272</c:v>
                </c:pt>
                <c:pt idx="52">
                  <c:v>90.294144508972636</c:v>
                </c:pt>
                <c:pt idx="53">
                  <c:v>90.230370361020007</c:v>
                </c:pt>
                <c:pt idx="54">
                  <c:v>90.166629128072387</c:v>
                </c:pt>
                <c:pt idx="55">
                  <c:v>90.102920810129774</c:v>
                </c:pt>
                <c:pt idx="56">
                  <c:v>90.039245407192169</c:v>
                </c:pt>
                <c:pt idx="57">
                  <c:v>89.975602919259558</c:v>
                </c:pt>
                <c:pt idx="58">
                  <c:v>89.91199334633194</c:v>
                </c:pt>
                <c:pt idx="59">
                  <c:v>89.84841668840933</c:v>
                </c:pt>
                <c:pt idx="60">
                  <c:v>89.784872945491728</c:v>
                </c:pt>
                <c:pt idx="61">
                  <c:v>89.721362117579133</c:v>
                </c:pt>
                <c:pt idx="62">
                  <c:v>89.657884204671532</c:v>
                </c:pt>
                <c:pt idx="63">
                  <c:v>89.594439206768953</c:v>
                </c:pt>
                <c:pt idx="64">
                  <c:v>89.53102712387134</c:v>
                </c:pt>
                <c:pt idx="65">
                  <c:v>89.467647955978748</c:v>
                </c:pt>
                <c:pt idx="66">
                  <c:v>89.404301703091164</c:v>
                </c:pt>
                <c:pt idx="67">
                  <c:v>89.340988365208574</c:v>
                </c:pt>
                <c:pt idx="68">
                  <c:v>89.277707942331006</c:v>
                </c:pt>
                <c:pt idx="69">
                  <c:v>89.214460434458431</c:v>
                </c:pt>
                <c:pt idx="70">
                  <c:v>89.15124584159085</c:v>
                </c:pt>
                <c:pt idx="71">
                  <c:v>89.088064163728262</c:v>
                </c:pt>
                <c:pt idx="72">
                  <c:v>89.024915400870697</c:v>
                </c:pt>
                <c:pt idx="73">
                  <c:v>88.961799553018125</c:v>
                </c:pt>
                <c:pt idx="74">
                  <c:v>88.898716620170561</c:v>
                </c:pt>
                <c:pt idx="75">
                  <c:v>88.835666602328004</c:v>
                </c:pt>
                <c:pt idx="76">
                  <c:v>88.772649499490441</c:v>
                </c:pt>
                <c:pt idx="77">
                  <c:v>88.709665311657872</c:v>
                </c:pt>
                <c:pt idx="78">
                  <c:v>88.646714038830311</c:v>
                </c:pt>
                <c:pt idx="79">
                  <c:v>88.583795681007771</c:v>
                </c:pt>
                <c:pt idx="80">
                  <c:v>88.520910238190226</c:v>
                </c:pt>
                <c:pt idx="81">
                  <c:v>88.458097802565192</c:v>
                </c:pt>
                <c:pt idx="82">
                  <c:v>88.395398466320231</c:v>
                </c:pt>
                <c:pt idx="83">
                  <c:v>88.332812229455328</c:v>
                </c:pt>
                <c:pt idx="84">
                  <c:v>88.270339091970484</c:v>
                </c:pt>
                <c:pt idx="85">
                  <c:v>88.207979053865714</c:v>
                </c:pt>
                <c:pt idx="86">
                  <c:v>88.145732115141001</c:v>
                </c:pt>
                <c:pt idx="87">
                  <c:v>88.083598275796362</c:v>
                </c:pt>
                <c:pt idx="88">
                  <c:v>88.021577535831767</c:v>
                </c:pt>
                <c:pt idx="89">
                  <c:v>87.959669895247231</c:v>
                </c:pt>
                <c:pt idx="90">
                  <c:v>87.897875354042753</c:v>
                </c:pt>
                <c:pt idx="91">
                  <c:v>87.836211508669194</c:v>
                </c:pt>
                <c:pt idx="92">
                  <c:v>87.774695955577428</c:v>
                </c:pt>
                <c:pt idx="93">
                  <c:v>87.713328694767441</c:v>
                </c:pt>
                <c:pt idx="94">
                  <c:v>87.652109726239246</c:v>
                </c:pt>
                <c:pt idx="95">
                  <c:v>87.59103904999283</c:v>
                </c:pt>
                <c:pt idx="96">
                  <c:v>87.530116666028206</c:v>
                </c:pt>
                <c:pt idx="97">
                  <c:v>87.469342574345362</c:v>
                </c:pt>
                <c:pt idx="98">
                  <c:v>87.408716774944295</c:v>
                </c:pt>
                <c:pt idx="99">
                  <c:v>87.348239267825008</c:v>
                </c:pt>
                <c:pt idx="100">
                  <c:v>87.287910052987499</c:v>
                </c:pt>
                <c:pt idx="101">
                  <c:v>87.227731926580148</c:v>
                </c:pt>
                <c:pt idx="102">
                  <c:v>87.167707684751292</c:v>
                </c:pt>
                <c:pt idx="103">
                  <c:v>87.107837327500931</c:v>
                </c:pt>
                <c:pt idx="104">
                  <c:v>87.048120854829079</c:v>
                </c:pt>
                <c:pt idx="105">
                  <c:v>86.988558266735708</c:v>
                </c:pt>
                <c:pt idx="106">
                  <c:v>86.929149563220818</c:v>
                </c:pt>
                <c:pt idx="107">
                  <c:v>86.869894744284451</c:v>
                </c:pt>
                <c:pt idx="108">
                  <c:v>86.810793809926565</c:v>
                </c:pt>
                <c:pt idx="109">
                  <c:v>86.751846760147188</c:v>
                </c:pt>
                <c:pt idx="110">
                  <c:v>86.693053594946306</c:v>
                </c:pt>
                <c:pt idx="111">
                  <c:v>86.634382327350906</c:v>
                </c:pt>
                <c:pt idx="112">
                  <c:v>86.575800970388002</c:v>
                </c:pt>
                <c:pt idx="113">
                  <c:v>86.51730952405758</c:v>
                </c:pt>
                <c:pt idx="114">
                  <c:v>86.458907988359627</c:v>
                </c:pt>
                <c:pt idx="115">
                  <c:v>86.40059636329417</c:v>
                </c:pt>
                <c:pt idx="116">
                  <c:v>86.34237464886121</c:v>
                </c:pt>
                <c:pt idx="117">
                  <c:v>86.284242845060746</c:v>
                </c:pt>
                <c:pt idx="118">
                  <c:v>86.22620095189275</c:v>
                </c:pt>
                <c:pt idx="119">
                  <c:v>86.168248969357236</c:v>
                </c:pt>
                <c:pt idx="120">
                  <c:v>86.110386897454219</c:v>
                </c:pt>
                <c:pt idx="121">
                  <c:v>86.052667453222085</c:v>
                </c:pt>
                <c:pt idx="122">
                  <c:v>85.995143353699248</c:v>
                </c:pt>
                <c:pt idx="123">
                  <c:v>85.937814598885709</c:v>
                </c:pt>
                <c:pt idx="124">
                  <c:v>85.880681188781466</c:v>
                </c:pt>
                <c:pt idx="125">
                  <c:v>85.823743123386521</c:v>
                </c:pt>
                <c:pt idx="126">
                  <c:v>85.767000402700859</c:v>
                </c:pt>
                <c:pt idx="127">
                  <c:v>85.710453026724494</c:v>
                </c:pt>
                <c:pt idx="128">
                  <c:v>85.654100995457426</c:v>
                </c:pt>
                <c:pt idx="129">
                  <c:v>85.597944308899642</c:v>
                </c:pt>
                <c:pt idx="130">
                  <c:v>85.541982967051169</c:v>
                </c:pt>
                <c:pt idx="131">
                  <c:v>85.486230685501766</c:v>
                </c:pt>
                <c:pt idx="132">
                  <c:v>85.430701179841222</c:v>
                </c:pt>
                <c:pt idx="133">
                  <c:v>85.375394450069535</c:v>
                </c:pt>
                <c:pt idx="134">
                  <c:v>85.320310496186707</c:v>
                </c:pt>
                <c:pt idx="135">
                  <c:v>85.265449318192722</c:v>
                </c:pt>
                <c:pt idx="136">
                  <c:v>85.210810916087596</c:v>
                </c:pt>
                <c:pt idx="137">
                  <c:v>85.156395289871327</c:v>
                </c:pt>
                <c:pt idx="138">
                  <c:v>85.10220243954393</c:v>
                </c:pt>
                <c:pt idx="139">
                  <c:v>85.048232365105378</c:v>
                </c:pt>
                <c:pt idx="140">
                  <c:v>84.994485066555697</c:v>
                </c:pt>
                <c:pt idx="141">
                  <c:v>84.941123548095149</c:v>
                </c:pt>
                <c:pt idx="142">
                  <c:v>84.888310813924051</c:v>
                </c:pt>
                <c:pt idx="143">
                  <c:v>84.836046864042373</c:v>
                </c:pt>
                <c:pt idx="144">
                  <c:v>84.78433169845016</c:v>
                </c:pt>
                <c:pt idx="145">
                  <c:v>84.733165317147353</c:v>
                </c:pt>
                <c:pt idx="146">
                  <c:v>84.682547720133996</c:v>
                </c:pt>
                <c:pt idx="147">
                  <c:v>84.632478907410075</c:v>
                </c:pt>
                <c:pt idx="148">
                  <c:v>84.582958878975603</c:v>
                </c:pt>
                <c:pt idx="149">
                  <c:v>84.533987634830552</c:v>
                </c:pt>
                <c:pt idx="150">
                  <c:v>84.485565174974951</c:v>
                </c:pt>
                <c:pt idx="151">
                  <c:v>84.437691499408785</c:v>
                </c:pt>
                <c:pt idx="152">
                  <c:v>84.390366608132041</c:v>
                </c:pt>
                <c:pt idx="153">
                  <c:v>84.343590501144746</c:v>
                </c:pt>
                <c:pt idx="154">
                  <c:v>84.297363178446901</c:v>
                </c:pt>
                <c:pt idx="155">
                  <c:v>84.251684640038476</c:v>
                </c:pt>
                <c:pt idx="156">
                  <c:v>84.207320564544361</c:v>
                </c:pt>
                <c:pt idx="157">
                  <c:v>84.165036630589384</c:v>
                </c:pt>
                <c:pt idx="158">
                  <c:v>84.12483283817356</c:v>
                </c:pt>
                <c:pt idx="159">
                  <c:v>84.086709187296876</c:v>
                </c:pt>
                <c:pt idx="160">
                  <c:v>84.050665677959358</c:v>
                </c:pt>
                <c:pt idx="161">
                  <c:v>84.017673778876912</c:v>
                </c:pt>
                <c:pt idx="162">
                  <c:v>83.988704958765496</c:v>
                </c:pt>
                <c:pt idx="163">
                  <c:v>83.963666655472636</c:v>
                </c:pt>
                <c:pt idx="164">
                  <c:v>83.942466306845859</c:v>
                </c:pt>
                <c:pt idx="165">
                  <c:v>83.924176724553092</c:v>
                </c:pt>
                <c:pt idx="166">
                  <c:v>83.907870720262267</c:v>
                </c:pt>
                <c:pt idx="167">
                  <c:v>83.894252995673341</c:v>
                </c:pt>
                <c:pt idx="168">
                  <c:v>83.883518437505757</c:v>
                </c:pt>
                <c:pt idx="169">
                  <c:v>83.877122248141092</c:v>
                </c:pt>
                <c:pt idx="170">
                  <c:v>83.875499999999988</c:v>
                </c:pt>
                <c:pt idx="171">
                  <c:v>83.875499999999988</c:v>
                </c:pt>
                <c:pt idx="172">
                  <c:v>83.875499999999988</c:v>
                </c:pt>
                <c:pt idx="173">
                  <c:v>83.875499999999988</c:v>
                </c:pt>
                <c:pt idx="174">
                  <c:v>83.875499999999988</c:v>
                </c:pt>
                <c:pt idx="175">
                  <c:v>83.875499999999988</c:v>
                </c:pt>
                <c:pt idx="176">
                  <c:v>83.875499999999988</c:v>
                </c:pt>
                <c:pt idx="177">
                  <c:v>83.875499999999988</c:v>
                </c:pt>
                <c:pt idx="178">
                  <c:v>83.875499999999988</c:v>
                </c:pt>
                <c:pt idx="179">
                  <c:v>83.875499999999988</c:v>
                </c:pt>
                <c:pt idx="180">
                  <c:v>83.875499999999988</c:v>
                </c:pt>
                <c:pt idx="181">
                  <c:v>83.875499999999988</c:v>
                </c:pt>
                <c:pt idx="182">
                  <c:v>83.875499999999988</c:v>
                </c:pt>
                <c:pt idx="183">
                  <c:v>83.875499999999988</c:v>
                </c:pt>
                <c:pt idx="184">
                  <c:v>83.875499999999988</c:v>
                </c:pt>
                <c:pt idx="185">
                  <c:v>83.875499999999988</c:v>
                </c:pt>
                <c:pt idx="186">
                  <c:v>83.875499999999988</c:v>
                </c:pt>
                <c:pt idx="187">
                  <c:v>83.875499999999988</c:v>
                </c:pt>
                <c:pt idx="188">
                  <c:v>83.875499999999988</c:v>
                </c:pt>
                <c:pt idx="189">
                  <c:v>83.875499999999988</c:v>
                </c:pt>
                <c:pt idx="190">
                  <c:v>83.875499999999988</c:v>
                </c:pt>
                <c:pt idx="191">
                  <c:v>83.875499999999988</c:v>
                </c:pt>
                <c:pt idx="192">
                  <c:v>83.875499999999988</c:v>
                </c:pt>
                <c:pt idx="193">
                  <c:v>83.875499999999988</c:v>
                </c:pt>
                <c:pt idx="194">
                  <c:v>83.875499999999988</c:v>
                </c:pt>
                <c:pt idx="195">
                  <c:v>83.875499999999988</c:v>
                </c:pt>
                <c:pt idx="196">
                  <c:v>83.875499999999988</c:v>
                </c:pt>
                <c:pt idx="197">
                  <c:v>83.875499999999988</c:v>
                </c:pt>
                <c:pt idx="198">
                  <c:v>83.875499999999988</c:v>
                </c:pt>
                <c:pt idx="199">
                  <c:v>83.875499999999988</c:v>
                </c:pt>
                <c:pt idx="200">
                  <c:v>83.875499999999988</c:v>
                </c:pt>
                <c:pt idx="201">
                  <c:v>83.875499999999988</c:v>
                </c:pt>
                <c:pt idx="202">
                  <c:v>83.875499999999988</c:v>
                </c:pt>
                <c:pt idx="203">
                  <c:v>83.875499999999988</c:v>
                </c:pt>
                <c:pt idx="204">
                  <c:v>83.875499999999988</c:v>
                </c:pt>
                <c:pt idx="205">
                  <c:v>83.875499999999988</c:v>
                </c:pt>
                <c:pt idx="206">
                  <c:v>83.875499999999988</c:v>
                </c:pt>
                <c:pt idx="207">
                  <c:v>83.875499999999988</c:v>
                </c:pt>
                <c:pt idx="208">
                  <c:v>83.875499999999988</c:v>
                </c:pt>
                <c:pt idx="209">
                  <c:v>83.875499999999988</c:v>
                </c:pt>
                <c:pt idx="210">
                  <c:v>83.875499999999988</c:v>
                </c:pt>
                <c:pt idx="211">
                  <c:v>83.875499999999988</c:v>
                </c:pt>
                <c:pt idx="212">
                  <c:v>83.875499999999988</c:v>
                </c:pt>
                <c:pt idx="213">
                  <c:v>83.875499999999988</c:v>
                </c:pt>
                <c:pt idx="214">
                  <c:v>83.875499999999988</c:v>
                </c:pt>
                <c:pt idx="215">
                  <c:v>83.875499999999988</c:v>
                </c:pt>
                <c:pt idx="216">
                  <c:v>83.875499999999988</c:v>
                </c:pt>
                <c:pt idx="217">
                  <c:v>83.875499999999988</c:v>
                </c:pt>
                <c:pt idx="218">
                  <c:v>83.875499999999988</c:v>
                </c:pt>
                <c:pt idx="219">
                  <c:v>83.875499999999988</c:v>
                </c:pt>
                <c:pt idx="220">
                  <c:v>83.875499999999988</c:v>
                </c:pt>
                <c:pt idx="221">
                  <c:v>83.875499999999988</c:v>
                </c:pt>
                <c:pt idx="222">
                  <c:v>83.875499999999988</c:v>
                </c:pt>
                <c:pt idx="223">
                  <c:v>83.875499999999988</c:v>
                </c:pt>
                <c:pt idx="224">
                  <c:v>83.875499999999988</c:v>
                </c:pt>
                <c:pt idx="225">
                  <c:v>83.875499999999988</c:v>
                </c:pt>
                <c:pt idx="226">
                  <c:v>83.875499999999988</c:v>
                </c:pt>
                <c:pt idx="227">
                  <c:v>83.875499999999988</c:v>
                </c:pt>
                <c:pt idx="228">
                  <c:v>83.875499999999988</c:v>
                </c:pt>
                <c:pt idx="229">
                  <c:v>83.875499999999988</c:v>
                </c:pt>
                <c:pt idx="230">
                  <c:v>83.875499999999988</c:v>
                </c:pt>
                <c:pt idx="231">
                  <c:v>83.875499999999988</c:v>
                </c:pt>
                <c:pt idx="232">
                  <c:v>83.875499999999988</c:v>
                </c:pt>
                <c:pt idx="233">
                  <c:v>83.875499999999988</c:v>
                </c:pt>
                <c:pt idx="234">
                  <c:v>83.875499999999988</c:v>
                </c:pt>
                <c:pt idx="235">
                  <c:v>83.875499999999988</c:v>
                </c:pt>
                <c:pt idx="236">
                  <c:v>83.875499999999988</c:v>
                </c:pt>
                <c:pt idx="237">
                  <c:v>83.875499999999988</c:v>
                </c:pt>
                <c:pt idx="238">
                  <c:v>83.875499999999988</c:v>
                </c:pt>
                <c:pt idx="239">
                  <c:v>83.875499999999988</c:v>
                </c:pt>
                <c:pt idx="240">
                  <c:v>83.875499999999988</c:v>
                </c:pt>
                <c:pt idx="241">
                  <c:v>83.875499999999988</c:v>
                </c:pt>
                <c:pt idx="242">
                  <c:v>83.875499999999988</c:v>
                </c:pt>
                <c:pt idx="243">
                  <c:v>83.875499999999988</c:v>
                </c:pt>
                <c:pt idx="244">
                  <c:v>83.875499999999988</c:v>
                </c:pt>
                <c:pt idx="245">
                  <c:v>83.875499999999988</c:v>
                </c:pt>
                <c:pt idx="246">
                  <c:v>83.875499999999988</c:v>
                </c:pt>
                <c:pt idx="247">
                  <c:v>83.875499999999988</c:v>
                </c:pt>
                <c:pt idx="248">
                  <c:v>83.875499999999988</c:v>
                </c:pt>
                <c:pt idx="249">
                  <c:v>83.875499999999988</c:v>
                </c:pt>
                <c:pt idx="250">
                  <c:v>83.875499999999988</c:v>
                </c:pt>
                <c:pt idx="251">
                  <c:v>83.875499999999988</c:v>
                </c:pt>
                <c:pt idx="252">
                  <c:v>83.875499999999988</c:v>
                </c:pt>
                <c:pt idx="253">
                  <c:v>83.875499999999988</c:v>
                </c:pt>
                <c:pt idx="254">
                  <c:v>83.875499999999988</c:v>
                </c:pt>
                <c:pt idx="255">
                  <c:v>83.875499999999988</c:v>
                </c:pt>
                <c:pt idx="256">
                  <c:v>83.875499999999988</c:v>
                </c:pt>
                <c:pt idx="257">
                  <c:v>83.875499999999988</c:v>
                </c:pt>
                <c:pt idx="258">
                  <c:v>83.875499999999988</c:v>
                </c:pt>
                <c:pt idx="259">
                  <c:v>83.875499999999988</c:v>
                </c:pt>
                <c:pt idx="260">
                  <c:v>83.875499999999988</c:v>
                </c:pt>
                <c:pt idx="261">
                  <c:v>83.875499999999988</c:v>
                </c:pt>
                <c:pt idx="262">
                  <c:v>83.875499999999988</c:v>
                </c:pt>
                <c:pt idx="263">
                  <c:v>83.875499999999988</c:v>
                </c:pt>
                <c:pt idx="264">
                  <c:v>83.875499999999988</c:v>
                </c:pt>
                <c:pt idx="265">
                  <c:v>83.875499999999988</c:v>
                </c:pt>
                <c:pt idx="266">
                  <c:v>83.875499999999988</c:v>
                </c:pt>
                <c:pt idx="267">
                  <c:v>83.875499999999988</c:v>
                </c:pt>
                <c:pt idx="268">
                  <c:v>83.875499999999988</c:v>
                </c:pt>
                <c:pt idx="269">
                  <c:v>83.875499999999988</c:v>
                </c:pt>
                <c:pt idx="270">
                  <c:v>83.875499999999988</c:v>
                </c:pt>
                <c:pt idx="271">
                  <c:v>83.875499999999988</c:v>
                </c:pt>
                <c:pt idx="272">
                  <c:v>83.875499999999988</c:v>
                </c:pt>
                <c:pt idx="273">
                  <c:v>83.875499999999988</c:v>
                </c:pt>
                <c:pt idx="274">
                  <c:v>83.875499999999988</c:v>
                </c:pt>
                <c:pt idx="275">
                  <c:v>83.875499999999988</c:v>
                </c:pt>
                <c:pt idx="276">
                  <c:v>83.875499999999988</c:v>
                </c:pt>
                <c:pt idx="277">
                  <c:v>83.875499999999988</c:v>
                </c:pt>
                <c:pt idx="278">
                  <c:v>83.875499999999988</c:v>
                </c:pt>
                <c:pt idx="279">
                  <c:v>83.875499999999988</c:v>
                </c:pt>
                <c:pt idx="280">
                  <c:v>83.875499999999988</c:v>
                </c:pt>
                <c:pt idx="281">
                  <c:v>83.875499999999988</c:v>
                </c:pt>
                <c:pt idx="282">
                  <c:v>83.875499999999988</c:v>
                </c:pt>
                <c:pt idx="283">
                  <c:v>83.875499999999988</c:v>
                </c:pt>
                <c:pt idx="284">
                  <c:v>83.875499999999988</c:v>
                </c:pt>
                <c:pt idx="285">
                  <c:v>83.875499999999988</c:v>
                </c:pt>
                <c:pt idx="286">
                  <c:v>83.875499999999988</c:v>
                </c:pt>
                <c:pt idx="287">
                  <c:v>83.875499999999988</c:v>
                </c:pt>
                <c:pt idx="288">
                  <c:v>83.875499999999988</c:v>
                </c:pt>
                <c:pt idx="289">
                  <c:v>83.875499999999988</c:v>
                </c:pt>
                <c:pt idx="290">
                  <c:v>83.875499999999988</c:v>
                </c:pt>
                <c:pt idx="291">
                  <c:v>83.875499999999988</c:v>
                </c:pt>
                <c:pt idx="292">
                  <c:v>83.875499999999988</c:v>
                </c:pt>
                <c:pt idx="293">
                  <c:v>83.875499999999988</c:v>
                </c:pt>
                <c:pt idx="294">
                  <c:v>83.875499999999988</c:v>
                </c:pt>
                <c:pt idx="295">
                  <c:v>83.875499999999988</c:v>
                </c:pt>
                <c:pt idx="296">
                  <c:v>83.875499999999988</c:v>
                </c:pt>
                <c:pt idx="297">
                  <c:v>83.875499999999988</c:v>
                </c:pt>
                <c:pt idx="298">
                  <c:v>83.875499999999988</c:v>
                </c:pt>
                <c:pt idx="299">
                  <c:v>83.875499999999988</c:v>
                </c:pt>
                <c:pt idx="300">
                  <c:v>83.875499999999988</c:v>
                </c:pt>
                <c:pt idx="301">
                  <c:v>83.875499999999988</c:v>
                </c:pt>
                <c:pt idx="302">
                  <c:v>83.875499999999988</c:v>
                </c:pt>
                <c:pt idx="303">
                  <c:v>83.875499999999988</c:v>
                </c:pt>
                <c:pt idx="304">
                  <c:v>83.875499999999988</c:v>
                </c:pt>
                <c:pt idx="305">
                  <c:v>83.875499999999988</c:v>
                </c:pt>
                <c:pt idx="306">
                  <c:v>83.875499999999988</c:v>
                </c:pt>
                <c:pt idx="307">
                  <c:v>83.875499999999988</c:v>
                </c:pt>
                <c:pt idx="308">
                  <c:v>83.875499999999988</c:v>
                </c:pt>
                <c:pt idx="309">
                  <c:v>83.875499999999988</c:v>
                </c:pt>
                <c:pt idx="310">
                  <c:v>83.875499999999988</c:v>
                </c:pt>
                <c:pt idx="311">
                  <c:v>83.875499999999988</c:v>
                </c:pt>
                <c:pt idx="312">
                  <c:v>83.875499999999988</c:v>
                </c:pt>
                <c:pt idx="313">
                  <c:v>83.875499999999988</c:v>
                </c:pt>
                <c:pt idx="314">
                  <c:v>83.875499999999988</c:v>
                </c:pt>
                <c:pt idx="315">
                  <c:v>83.875499999999988</c:v>
                </c:pt>
                <c:pt idx="316">
                  <c:v>83.875499999999988</c:v>
                </c:pt>
                <c:pt idx="317">
                  <c:v>83.875499999999988</c:v>
                </c:pt>
                <c:pt idx="318">
                  <c:v>83.875499999999988</c:v>
                </c:pt>
                <c:pt idx="319">
                  <c:v>83.875499999999988</c:v>
                </c:pt>
                <c:pt idx="320">
                  <c:v>83.875499999999988</c:v>
                </c:pt>
                <c:pt idx="321">
                  <c:v>83.875499999999988</c:v>
                </c:pt>
                <c:pt idx="322">
                  <c:v>83.875499999999988</c:v>
                </c:pt>
                <c:pt idx="323">
                  <c:v>83.875499999999988</c:v>
                </c:pt>
                <c:pt idx="324">
                  <c:v>83.875499999999988</c:v>
                </c:pt>
                <c:pt idx="325">
                  <c:v>83.875499999999988</c:v>
                </c:pt>
                <c:pt idx="326">
                  <c:v>83.875499999999988</c:v>
                </c:pt>
                <c:pt idx="327">
                  <c:v>83.875499999999988</c:v>
                </c:pt>
                <c:pt idx="328">
                  <c:v>83.875499999999988</c:v>
                </c:pt>
                <c:pt idx="329">
                  <c:v>83.875499999999988</c:v>
                </c:pt>
                <c:pt idx="330">
                  <c:v>83.875499999999988</c:v>
                </c:pt>
                <c:pt idx="331">
                  <c:v>83.875499999999988</c:v>
                </c:pt>
                <c:pt idx="332">
                  <c:v>83.875499999999988</c:v>
                </c:pt>
                <c:pt idx="333">
                  <c:v>83.875499999999988</c:v>
                </c:pt>
                <c:pt idx="334">
                  <c:v>83.875499999999988</c:v>
                </c:pt>
                <c:pt idx="335">
                  <c:v>83.875499999999988</c:v>
                </c:pt>
                <c:pt idx="336">
                  <c:v>83.875499999999988</c:v>
                </c:pt>
                <c:pt idx="337">
                  <c:v>83.875499999999988</c:v>
                </c:pt>
                <c:pt idx="338">
                  <c:v>83.875499999999988</c:v>
                </c:pt>
                <c:pt idx="339">
                  <c:v>83.875499999999988</c:v>
                </c:pt>
                <c:pt idx="340">
                  <c:v>83.875499999999988</c:v>
                </c:pt>
                <c:pt idx="341">
                  <c:v>83.875499999999988</c:v>
                </c:pt>
                <c:pt idx="342">
                  <c:v>83.875499999999988</c:v>
                </c:pt>
                <c:pt idx="343">
                  <c:v>83.875499999999988</c:v>
                </c:pt>
                <c:pt idx="344">
                  <c:v>83.875499999999988</c:v>
                </c:pt>
                <c:pt idx="345">
                  <c:v>83.875499999999988</c:v>
                </c:pt>
                <c:pt idx="346">
                  <c:v>83.875499999999988</c:v>
                </c:pt>
                <c:pt idx="347">
                  <c:v>83.875499999999988</c:v>
                </c:pt>
                <c:pt idx="348">
                  <c:v>83.875499999999988</c:v>
                </c:pt>
                <c:pt idx="349">
                  <c:v>83.875499999999988</c:v>
                </c:pt>
                <c:pt idx="350">
                  <c:v>83.875499999999988</c:v>
                </c:pt>
                <c:pt idx="351">
                  <c:v>83.875499999999988</c:v>
                </c:pt>
                <c:pt idx="352">
                  <c:v>83.875499999999988</c:v>
                </c:pt>
                <c:pt idx="353">
                  <c:v>83.875499999999988</c:v>
                </c:pt>
                <c:pt idx="354">
                  <c:v>83.875499999999988</c:v>
                </c:pt>
                <c:pt idx="355">
                  <c:v>83.875499999999988</c:v>
                </c:pt>
                <c:pt idx="356">
                  <c:v>83.875499999999988</c:v>
                </c:pt>
                <c:pt idx="357">
                  <c:v>83.875499999999988</c:v>
                </c:pt>
                <c:pt idx="358">
                  <c:v>83.875499999999988</c:v>
                </c:pt>
                <c:pt idx="359">
                  <c:v>83.875499999999988</c:v>
                </c:pt>
                <c:pt idx="360">
                  <c:v>83.875499999999988</c:v>
                </c:pt>
                <c:pt idx="361">
                  <c:v>83.875499999999988</c:v>
                </c:pt>
                <c:pt idx="362">
                  <c:v>83.875499999999988</c:v>
                </c:pt>
                <c:pt idx="363">
                  <c:v>83.875499999999988</c:v>
                </c:pt>
                <c:pt idx="364">
                  <c:v>83.875499999999988</c:v>
                </c:pt>
                <c:pt idx="365">
                  <c:v>83.875499999999988</c:v>
                </c:pt>
                <c:pt idx="366">
                  <c:v>83.875499999999988</c:v>
                </c:pt>
                <c:pt idx="367">
                  <c:v>83.875499999999988</c:v>
                </c:pt>
                <c:pt idx="368">
                  <c:v>83.875499999999988</c:v>
                </c:pt>
                <c:pt idx="369">
                  <c:v>83.875499999999988</c:v>
                </c:pt>
                <c:pt idx="370">
                  <c:v>83.875499999999988</c:v>
                </c:pt>
                <c:pt idx="371">
                  <c:v>83.875499999999988</c:v>
                </c:pt>
                <c:pt idx="372">
                  <c:v>83.875499999999988</c:v>
                </c:pt>
                <c:pt idx="373">
                  <c:v>83.875499999999988</c:v>
                </c:pt>
                <c:pt idx="374">
                  <c:v>83.875499999999988</c:v>
                </c:pt>
                <c:pt idx="375">
                  <c:v>83.875499999999988</c:v>
                </c:pt>
                <c:pt idx="376">
                  <c:v>83.875499999999988</c:v>
                </c:pt>
                <c:pt idx="377">
                  <c:v>83.875499999999988</c:v>
                </c:pt>
                <c:pt idx="378">
                  <c:v>83.875499999999988</c:v>
                </c:pt>
                <c:pt idx="379">
                  <c:v>83.875499999999988</c:v>
                </c:pt>
                <c:pt idx="380">
                  <c:v>83.875499999999988</c:v>
                </c:pt>
                <c:pt idx="381">
                  <c:v>83.875499999999988</c:v>
                </c:pt>
                <c:pt idx="382">
                  <c:v>83.875499999999988</c:v>
                </c:pt>
                <c:pt idx="383">
                  <c:v>83.875499999999988</c:v>
                </c:pt>
                <c:pt idx="384">
                  <c:v>83.875499999999988</c:v>
                </c:pt>
                <c:pt idx="385">
                  <c:v>83.875499999999988</c:v>
                </c:pt>
                <c:pt idx="386">
                  <c:v>83.875499999999988</c:v>
                </c:pt>
                <c:pt idx="387">
                  <c:v>83.875499999999988</c:v>
                </c:pt>
                <c:pt idx="388">
                  <c:v>83.875499999999988</c:v>
                </c:pt>
                <c:pt idx="389">
                  <c:v>83.875499999999988</c:v>
                </c:pt>
                <c:pt idx="390">
                  <c:v>83.875499999999988</c:v>
                </c:pt>
                <c:pt idx="391">
                  <c:v>83.875499999999988</c:v>
                </c:pt>
                <c:pt idx="392">
                  <c:v>83.875499999999988</c:v>
                </c:pt>
                <c:pt idx="393">
                  <c:v>83.875499999999988</c:v>
                </c:pt>
                <c:pt idx="394">
                  <c:v>83.875499999999988</c:v>
                </c:pt>
                <c:pt idx="395">
                  <c:v>83.875499999999988</c:v>
                </c:pt>
                <c:pt idx="396">
                  <c:v>83.875499999999988</c:v>
                </c:pt>
                <c:pt idx="397">
                  <c:v>83.875499999999988</c:v>
                </c:pt>
                <c:pt idx="398">
                  <c:v>83.875499999999988</c:v>
                </c:pt>
                <c:pt idx="399">
                  <c:v>83.875499999999988</c:v>
                </c:pt>
                <c:pt idx="400">
                  <c:v>83.875499999999988</c:v>
                </c:pt>
                <c:pt idx="401">
                  <c:v>83.875499999999988</c:v>
                </c:pt>
                <c:pt idx="402">
                  <c:v>83.875499999999988</c:v>
                </c:pt>
                <c:pt idx="403">
                  <c:v>83.875499999999988</c:v>
                </c:pt>
                <c:pt idx="404">
                  <c:v>83.875499999999988</c:v>
                </c:pt>
                <c:pt idx="405">
                  <c:v>83.875499999999988</c:v>
                </c:pt>
                <c:pt idx="406">
                  <c:v>83.875499999999988</c:v>
                </c:pt>
                <c:pt idx="407">
                  <c:v>83.875499999999988</c:v>
                </c:pt>
                <c:pt idx="408">
                  <c:v>83.875499999999988</c:v>
                </c:pt>
                <c:pt idx="409">
                  <c:v>83.875499999999988</c:v>
                </c:pt>
                <c:pt idx="410">
                  <c:v>83.875499999999988</c:v>
                </c:pt>
                <c:pt idx="411">
                  <c:v>83.875499999999988</c:v>
                </c:pt>
                <c:pt idx="412">
                  <c:v>83.875499999999988</c:v>
                </c:pt>
                <c:pt idx="413">
                  <c:v>83.875499999999988</c:v>
                </c:pt>
                <c:pt idx="414">
                  <c:v>83.875499999999988</c:v>
                </c:pt>
                <c:pt idx="415">
                  <c:v>83.875499999999988</c:v>
                </c:pt>
                <c:pt idx="416">
                  <c:v>83.875499999999988</c:v>
                </c:pt>
                <c:pt idx="417">
                  <c:v>83.875499999999988</c:v>
                </c:pt>
                <c:pt idx="418">
                  <c:v>83.875499999999988</c:v>
                </c:pt>
                <c:pt idx="419">
                  <c:v>83.875499999999988</c:v>
                </c:pt>
                <c:pt idx="420">
                  <c:v>83.875499999999988</c:v>
                </c:pt>
                <c:pt idx="421">
                  <c:v>83.875499999999988</c:v>
                </c:pt>
                <c:pt idx="422">
                  <c:v>83.875499999999988</c:v>
                </c:pt>
                <c:pt idx="423">
                  <c:v>83.875499999999988</c:v>
                </c:pt>
                <c:pt idx="424">
                  <c:v>83.875499999999988</c:v>
                </c:pt>
                <c:pt idx="425">
                  <c:v>83.875499999999988</c:v>
                </c:pt>
                <c:pt idx="426">
                  <c:v>83.875499999999988</c:v>
                </c:pt>
                <c:pt idx="427">
                  <c:v>83.875499999999988</c:v>
                </c:pt>
                <c:pt idx="428">
                  <c:v>83.875499999999988</c:v>
                </c:pt>
                <c:pt idx="429">
                  <c:v>83.875499999999988</c:v>
                </c:pt>
                <c:pt idx="430">
                  <c:v>83.875499999999988</c:v>
                </c:pt>
                <c:pt idx="431">
                  <c:v>83.875499999999988</c:v>
                </c:pt>
                <c:pt idx="432">
                  <c:v>83.875499999999988</c:v>
                </c:pt>
                <c:pt idx="433">
                  <c:v>83.875499999999988</c:v>
                </c:pt>
                <c:pt idx="434">
                  <c:v>83.875499999999988</c:v>
                </c:pt>
                <c:pt idx="435">
                  <c:v>83.875499999999988</c:v>
                </c:pt>
                <c:pt idx="436">
                  <c:v>83.875499999999988</c:v>
                </c:pt>
                <c:pt idx="437">
                  <c:v>83.875499999999988</c:v>
                </c:pt>
                <c:pt idx="438">
                  <c:v>83.875499999999988</c:v>
                </c:pt>
                <c:pt idx="439">
                  <c:v>83.875499999999988</c:v>
                </c:pt>
                <c:pt idx="440">
                  <c:v>83.875499999999988</c:v>
                </c:pt>
                <c:pt idx="441">
                  <c:v>83.875499999999988</c:v>
                </c:pt>
                <c:pt idx="442">
                  <c:v>83.875499999999988</c:v>
                </c:pt>
                <c:pt idx="443">
                  <c:v>83.875499999999988</c:v>
                </c:pt>
                <c:pt idx="444">
                  <c:v>83.875499999999988</c:v>
                </c:pt>
                <c:pt idx="445">
                  <c:v>83.875499999999988</c:v>
                </c:pt>
                <c:pt idx="446">
                  <c:v>83.875499999999988</c:v>
                </c:pt>
                <c:pt idx="447">
                  <c:v>83.875499999999988</c:v>
                </c:pt>
                <c:pt idx="448">
                  <c:v>83.875499999999988</c:v>
                </c:pt>
                <c:pt idx="449">
                  <c:v>83.875499999999988</c:v>
                </c:pt>
                <c:pt idx="450">
                  <c:v>83.875499999999988</c:v>
                </c:pt>
                <c:pt idx="451">
                  <c:v>83.875499999999988</c:v>
                </c:pt>
                <c:pt idx="452">
                  <c:v>83.875499999999988</c:v>
                </c:pt>
                <c:pt idx="453">
                  <c:v>83.875499999999988</c:v>
                </c:pt>
                <c:pt idx="454">
                  <c:v>83.875499999999988</c:v>
                </c:pt>
                <c:pt idx="455">
                  <c:v>83.875499999999988</c:v>
                </c:pt>
                <c:pt idx="456">
                  <c:v>83.875499999999988</c:v>
                </c:pt>
                <c:pt idx="457">
                  <c:v>83.875499999999988</c:v>
                </c:pt>
                <c:pt idx="458">
                  <c:v>83.875499999999988</c:v>
                </c:pt>
                <c:pt idx="459">
                  <c:v>83.875499999999988</c:v>
                </c:pt>
                <c:pt idx="460">
                  <c:v>83.875499999999988</c:v>
                </c:pt>
                <c:pt idx="461">
                  <c:v>83.875499999999988</c:v>
                </c:pt>
                <c:pt idx="462">
                  <c:v>83.875499999999988</c:v>
                </c:pt>
                <c:pt idx="463">
                  <c:v>83.875499999999988</c:v>
                </c:pt>
                <c:pt idx="464">
                  <c:v>83.875499999999988</c:v>
                </c:pt>
                <c:pt idx="465">
                  <c:v>83.875499999999988</c:v>
                </c:pt>
                <c:pt idx="466">
                  <c:v>83.875499999999988</c:v>
                </c:pt>
                <c:pt idx="467">
                  <c:v>83.875499999999988</c:v>
                </c:pt>
                <c:pt idx="468">
                  <c:v>83.875499999999988</c:v>
                </c:pt>
                <c:pt idx="469">
                  <c:v>83.875499999999988</c:v>
                </c:pt>
                <c:pt idx="470">
                  <c:v>83.875499999999988</c:v>
                </c:pt>
                <c:pt idx="471">
                  <c:v>83.875499999999988</c:v>
                </c:pt>
                <c:pt idx="472">
                  <c:v>83.875499999999988</c:v>
                </c:pt>
                <c:pt idx="473">
                  <c:v>83.875499999999988</c:v>
                </c:pt>
                <c:pt idx="474">
                  <c:v>83.875499999999988</c:v>
                </c:pt>
                <c:pt idx="475">
                  <c:v>83.875499999999988</c:v>
                </c:pt>
                <c:pt idx="476">
                  <c:v>83.875499999999988</c:v>
                </c:pt>
                <c:pt idx="477">
                  <c:v>83.875499999999988</c:v>
                </c:pt>
                <c:pt idx="478">
                  <c:v>83.875499999999988</c:v>
                </c:pt>
                <c:pt idx="479">
                  <c:v>83.875499999999988</c:v>
                </c:pt>
                <c:pt idx="480">
                  <c:v>83.875499999999988</c:v>
                </c:pt>
                <c:pt idx="481">
                  <c:v>83.875499999999988</c:v>
                </c:pt>
                <c:pt idx="482">
                  <c:v>83.875499999999988</c:v>
                </c:pt>
                <c:pt idx="483">
                  <c:v>83.875499999999988</c:v>
                </c:pt>
                <c:pt idx="484">
                  <c:v>83.875499999999988</c:v>
                </c:pt>
                <c:pt idx="485">
                  <c:v>83.875499999999988</c:v>
                </c:pt>
                <c:pt idx="486">
                  <c:v>83.875499999999988</c:v>
                </c:pt>
                <c:pt idx="487">
                  <c:v>83.875499999999988</c:v>
                </c:pt>
                <c:pt idx="488">
                  <c:v>83.875499999999988</c:v>
                </c:pt>
                <c:pt idx="489">
                  <c:v>83.875499999999988</c:v>
                </c:pt>
                <c:pt idx="490">
                  <c:v>83.875499999999988</c:v>
                </c:pt>
                <c:pt idx="491">
                  <c:v>83.875499999999988</c:v>
                </c:pt>
                <c:pt idx="492">
                  <c:v>83.875499999999988</c:v>
                </c:pt>
                <c:pt idx="493">
                  <c:v>83.875499999999988</c:v>
                </c:pt>
                <c:pt idx="494">
                  <c:v>83.875499999999988</c:v>
                </c:pt>
                <c:pt idx="495">
                  <c:v>83.875499999999988</c:v>
                </c:pt>
                <c:pt idx="496">
                  <c:v>83.875499999999988</c:v>
                </c:pt>
                <c:pt idx="497">
                  <c:v>83.875499999999988</c:v>
                </c:pt>
                <c:pt idx="498">
                  <c:v>83.875499999999988</c:v>
                </c:pt>
                <c:pt idx="499">
                  <c:v>83.875499999999988</c:v>
                </c:pt>
                <c:pt idx="500">
                  <c:v>83.875499999999988</c:v>
                </c:pt>
                <c:pt idx="501">
                  <c:v>83.875499999999988</c:v>
                </c:pt>
                <c:pt idx="502">
                  <c:v>83.875499999999988</c:v>
                </c:pt>
                <c:pt idx="503">
                  <c:v>83.875499999999988</c:v>
                </c:pt>
                <c:pt idx="504">
                  <c:v>83.875499999999988</c:v>
                </c:pt>
                <c:pt idx="505">
                  <c:v>83.875499999999988</c:v>
                </c:pt>
                <c:pt idx="506">
                  <c:v>83.875499999999988</c:v>
                </c:pt>
                <c:pt idx="507">
                  <c:v>83.875499999999988</c:v>
                </c:pt>
                <c:pt idx="508">
                  <c:v>83.875499999999988</c:v>
                </c:pt>
                <c:pt idx="509">
                  <c:v>83.875499999999988</c:v>
                </c:pt>
                <c:pt idx="510">
                  <c:v>83.875499999999988</c:v>
                </c:pt>
                <c:pt idx="511">
                  <c:v>83.875499999999988</c:v>
                </c:pt>
                <c:pt idx="512">
                  <c:v>83.875499999999988</c:v>
                </c:pt>
                <c:pt idx="513">
                  <c:v>83.875499999999988</c:v>
                </c:pt>
                <c:pt idx="514">
                  <c:v>83.875499999999988</c:v>
                </c:pt>
                <c:pt idx="515">
                  <c:v>83.875499999999988</c:v>
                </c:pt>
                <c:pt idx="516">
                  <c:v>83.875499999999988</c:v>
                </c:pt>
                <c:pt idx="517">
                  <c:v>83.875499999999988</c:v>
                </c:pt>
                <c:pt idx="518">
                  <c:v>83.875499999999988</c:v>
                </c:pt>
                <c:pt idx="519">
                  <c:v>83.875499999999988</c:v>
                </c:pt>
                <c:pt idx="520">
                  <c:v>83.875499999999988</c:v>
                </c:pt>
                <c:pt idx="521">
                  <c:v>83.875499999999988</c:v>
                </c:pt>
                <c:pt idx="522">
                  <c:v>83.875499999999988</c:v>
                </c:pt>
                <c:pt idx="523">
                  <c:v>83.875499999999988</c:v>
                </c:pt>
                <c:pt idx="524">
                  <c:v>83.875499999999988</c:v>
                </c:pt>
                <c:pt idx="525">
                  <c:v>83.875499999999988</c:v>
                </c:pt>
                <c:pt idx="526">
                  <c:v>83.875499999999988</c:v>
                </c:pt>
                <c:pt idx="527">
                  <c:v>83.875499999999988</c:v>
                </c:pt>
                <c:pt idx="528">
                  <c:v>83.875499999999988</c:v>
                </c:pt>
                <c:pt idx="529">
                  <c:v>83.875499999999988</c:v>
                </c:pt>
                <c:pt idx="530">
                  <c:v>83.875499999999988</c:v>
                </c:pt>
                <c:pt idx="531">
                  <c:v>83.875499999999988</c:v>
                </c:pt>
                <c:pt idx="532">
                  <c:v>83.875499999999988</c:v>
                </c:pt>
                <c:pt idx="533">
                  <c:v>83.875499999999988</c:v>
                </c:pt>
                <c:pt idx="534">
                  <c:v>83.875499999999988</c:v>
                </c:pt>
                <c:pt idx="535">
                  <c:v>83.875499999999988</c:v>
                </c:pt>
                <c:pt idx="536">
                  <c:v>83.875499999999988</c:v>
                </c:pt>
                <c:pt idx="537">
                  <c:v>83.875499999999988</c:v>
                </c:pt>
                <c:pt idx="538">
                  <c:v>83.875499999999988</c:v>
                </c:pt>
                <c:pt idx="539">
                  <c:v>83.875499999999988</c:v>
                </c:pt>
                <c:pt idx="540">
                  <c:v>83.875499999999988</c:v>
                </c:pt>
                <c:pt idx="541">
                  <c:v>83.875499999999988</c:v>
                </c:pt>
                <c:pt idx="542">
                  <c:v>83.875499999999988</c:v>
                </c:pt>
                <c:pt idx="543">
                  <c:v>83.875499999999988</c:v>
                </c:pt>
                <c:pt idx="544">
                  <c:v>83.875499999999988</c:v>
                </c:pt>
                <c:pt idx="545">
                  <c:v>83.875499999999988</c:v>
                </c:pt>
                <c:pt idx="546">
                  <c:v>83.875499999999988</c:v>
                </c:pt>
                <c:pt idx="547">
                  <c:v>83.875499999999988</c:v>
                </c:pt>
                <c:pt idx="548">
                  <c:v>83.875499999999988</c:v>
                </c:pt>
                <c:pt idx="549">
                  <c:v>83.875499999999988</c:v>
                </c:pt>
                <c:pt idx="550">
                  <c:v>83.875499999999988</c:v>
                </c:pt>
                <c:pt idx="551">
                  <c:v>83.875499999999988</c:v>
                </c:pt>
                <c:pt idx="552">
                  <c:v>83.875499999999988</c:v>
                </c:pt>
                <c:pt idx="553">
                  <c:v>83.875499999999988</c:v>
                </c:pt>
                <c:pt idx="554">
                  <c:v>83.875499999999988</c:v>
                </c:pt>
                <c:pt idx="555">
                  <c:v>83.875499999999988</c:v>
                </c:pt>
                <c:pt idx="556">
                  <c:v>83.875499999999988</c:v>
                </c:pt>
                <c:pt idx="557">
                  <c:v>83.875499999999988</c:v>
                </c:pt>
                <c:pt idx="558">
                  <c:v>83.875499999999988</c:v>
                </c:pt>
                <c:pt idx="559">
                  <c:v>83.875499999999988</c:v>
                </c:pt>
                <c:pt idx="560">
                  <c:v>83.875499999999988</c:v>
                </c:pt>
                <c:pt idx="561">
                  <c:v>83.875499999999988</c:v>
                </c:pt>
                <c:pt idx="562">
                  <c:v>83.875499999999988</c:v>
                </c:pt>
                <c:pt idx="563">
                  <c:v>83.875499999999988</c:v>
                </c:pt>
                <c:pt idx="564">
                  <c:v>83.875499999999988</c:v>
                </c:pt>
                <c:pt idx="565">
                  <c:v>83.875499999999988</c:v>
                </c:pt>
                <c:pt idx="566">
                  <c:v>83.875499999999988</c:v>
                </c:pt>
                <c:pt idx="567">
                  <c:v>83.875499999999988</c:v>
                </c:pt>
                <c:pt idx="568">
                  <c:v>83.875499999999988</c:v>
                </c:pt>
                <c:pt idx="569">
                  <c:v>83.875499999999988</c:v>
                </c:pt>
                <c:pt idx="570">
                  <c:v>83.875499999999988</c:v>
                </c:pt>
                <c:pt idx="571">
                  <c:v>83.875499999999988</c:v>
                </c:pt>
                <c:pt idx="572">
                  <c:v>83.875499999999988</c:v>
                </c:pt>
                <c:pt idx="573">
                  <c:v>83.875499999999988</c:v>
                </c:pt>
                <c:pt idx="574">
                  <c:v>83.875499999999988</c:v>
                </c:pt>
                <c:pt idx="575">
                  <c:v>83.875499999999988</c:v>
                </c:pt>
                <c:pt idx="576">
                  <c:v>83.875499999999988</c:v>
                </c:pt>
                <c:pt idx="577">
                  <c:v>83.875499999999988</c:v>
                </c:pt>
                <c:pt idx="578">
                  <c:v>83.875499999999988</c:v>
                </c:pt>
                <c:pt idx="579">
                  <c:v>83.875499999999988</c:v>
                </c:pt>
                <c:pt idx="580">
                  <c:v>83.875499999999988</c:v>
                </c:pt>
                <c:pt idx="581">
                  <c:v>83.875499999999988</c:v>
                </c:pt>
                <c:pt idx="582">
                  <c:v>83.875499999999988</c:v>
                </c:pt>
                <c:pt idx="583">
                  <c:v>83.875499999999988</c:v>
                </c:pt>
                <c:pt idx="584">
                  <c:v>83.875499999999988</c:v>
                </c:pt>
                <c:pt idx="585">
                  <c:v>83.875499999999988</c:v>
                </c:pt>
                <c:pt idx="586">
                  <c:v>83.875499999999988</c:v>
                </c:pt>
                <c:pt idx="587">
                  <c:v>83.875499999999988</c:v>
                </c:pt>
                <c:pt idx="588">
                  <c:v>83.875499999999988</c:v>
                </c:pt>
                <c:pt idx="589">
                  <c:v>83.875499999999988</c:v>
                </c:pt>
                <c:pt idx="590">
                  <c:v>83.875499999999988</c:v>
                </c:pt>
                <c:pt idx="591">
                  <c:v>83.875499999999988</c:v>
                </c:pt>
                <c:pt idx="592">
                  <c:v>83.875499999999988</c:v>
                </c:pt>
                <c:pt idx="593">
                  <c:v>83.875499999999988</c:v>
                </c:pt>
                <c:pt idx="594">
                  <c:v>83.875499999999988</c:v>
                </c:pt>
                <c:pt idx="595">
                  <c:v>83.875499999999988</c:v>
                </c:pt>
                <c:pt idx="596">
                  <c:v>83.875499999999988</c:v>
                </c:pt>
                <c:pt idx="597">
                  <c:v>83.875499999999988</c:v>
                </c:pt>
                <c:pt idx="598">
                  <c:v>83.875499999999988</c:v>
                </c:pt>
                <c:pt idx="599">
                  <c:v>83.875499999999988</c:v>
                </c:pt>
                <c:pt idx="600">
                  <c:v>83.875499999999988</c:v>
                </c:pt>
                <c:pt idx="601">
                  <c:v>83.875499999999988</c:v>
                </c:pt>
                <c:pt idx="602">
                  <c:v>83.875499999999988</c:v>
                </c:pt>
                <c:pt idx="603">
                  <c:v>83.875499999999988</c:v>
                </c:pt>
                <c:pt idx="604">
                  <c:v>83.875499999999988</c:v>
                </c:pt>
                <c:pt idx="605">
                  <c:v>83.875499999999988</c:v>
                </c:pt>
                <c:pt idx="606">
                  <c:v>83.875499999999988</c:v>
                </c:pt>
                <c:pt idx="607">
                  <c:v>83.875499999999988</c:v>
                </c:pt>
                <c:pt idx="608">
                  <c:v>83.875499999999988</c:v>
                </c:pt>
                <c:pt idx="609">
                  <c:v>83.875499999999988</c:v>
                </c:pt>
                <c:pt idx="610">
                  <c:v>83.875499999999988</c:v>
                </c:pt>
                <c:pt idx="611">
                  <c:v>83.875499999999988</c:v>
                </c:pt>
                <c:pt idx="612">
                  <c:v>83.875499999999988</c:v>
                </c:pt>
                <c:pt idx="613">
                  <c:v>83.875499999999988</c:v>
                </c:pt>
                <c:pt idx="614">
                  <c:v>83.875499999999988</c:v>
                </c:pt>
                <c:pt idx="615">
                  <c:v>83.875499999999988</c:v>
                </c:pt>
                <c:pt idx="616">
                  <c:v>83.875499999999988</c:v>
                </c:pt>
                <c:pt idx="617">
                  <c:v>83.875499999999988</c:v>
                </c:pt>
                <c:pt idx="618">
                  <c:v>83.875499999999988</c:v>
                </c:pt>
                <c:pt idx="619">
                  <c:v>83.875499999999988</c:v>
                </c:pt>
                <c:pt idx="620">
                  <c:v>83.875499999999988</c:v>
                </c:pt>
                <c:pt idx="621">
                  <c:v>83.875499999999988</c:v>
                </c:pt>
                <c:pt idx="622">
                  <c:v>83.875499999999988</c:v>
                </c:pt>
                <c:pt idx="623">
                  <c:v>83.875499999999988</c:v>
                </c:pt>
                <c:pt idx="624">
                  <c:v>83.875499999999988</c:v>
                </c:pt>
                <c:pt idx="625">
                  <c:v>83.875499999999988</c:v>
                </c:pt>
                <c:pt idx="626">
                  <c:v>83.875499999999988</c:v>
                </c:pt>
                <c:pt idx="627">
                  <c:v>83.875499999999988</c:v>
                </c:pt>
                <c:pt idx="628">
                  <c:v>83.875499999999988</c:v>
                </c:pt>
                <c:pt idx="629">
                  <c:v>83.875499999999988</c:v>
                </c:pt>
                <c:pt idx="630">
                  <c:v>83.875499999999988</c:v>
                </c:pt>
                <c:pt idx="631">
                  <c:v>83.875499999999988</c:v>
                </c:pt>
                <c:pt idx="632">
                  <c:v>83.875499999999988</c:v>
                </c:pt>
                <c:pt idx="633">
                  <c:v>83.875499999999988</c:v>
                </c:pt>
                <c:pt idx="634">
                  <c:v>83.875499999999988</c:v>
                </c:pt>
                <c:pt idx="635">
                  <c:v>83.875499999999988</c:v>
                </c:pt>
                <c:pt idx="636">
                  <c:v>83.875499999999988</c:v>
                </c:pt>
                <c:pt idx="637">
                  <c:v>83.875499999999988</c:v>
                </c:pt>
                <c:pt idx="638">
                  <c:v>83.875499999999988</c:v>
                </c:pt>
                <c:pt idx="639">
                  <c:v>83.875499999999988</c:v>
                </c:pt>
                <c:pt idx="640">
                  <c:v>83.875499999999988</c:v>
                </c:pt>
                <c:pt idx="641">
                  <c:v>83.875499999999988</c:v>
                </c:pt>
                <c:pt idx="642">
                  <c:v>83.875499999999988</c:v>
                </c:pt>
                <c:pt idx="643">
                  <c:v>83.875499999999988</c:v>
                </c:pt>
                <c:pt idx="644">
                  <c:v>83.875499999999988</c:v>
                </c:pt>
                <c:pt idx="645">
                  <c:v>83.875499999999988</c:v>
                </c:pt>
                <c:pt idx="646">
                  <c:v>83.875499999999988</c:v>
                </c:pt>
                <c:pt idx="647">
                  <c:v>83.875499999999988</c:v>
                </c:pt>
                <c:pt idx="648">
                  <c:v>83.875499999999988</c:v>
                </c:pt>
                <c:pt idx="649">
                  <c:v>83.875499999999988</c:v>
                </c:pt>
                <c:pt idx="650">
                  <c:v>83.875499999999988</c:v>
                </c:pt>
                <c:pt idx="651">
                  <c:v>83.875499999999988</c:v>
                </c:pt>
                <c:pt idx="652">
                  <c:v>83.875499999999988</c:v>
                </c:pt>
                <c:pt idx="653">
                  <c:v>83.875499999999988</c:v>
                </c:pt>
                <c:pt idx="654">
                  <c:v>83.875499999999988</c:v>
                </c:pt>
                <c:pt idx="655">
                  <c:v>83.875499999999988</c:v>
                </c:pt>
                <c:pt idx="656">
                  <c:v>83.875499999999988</c:v>
                </c:pt>
                <c:pt idx="657">
                  <c:v>83.875499999999988</c:v>
                </c:pt>
                <c:pt idx="658">
                  <c:v>83.875499999999988</c:v>
                </c:pt>
                <c:pt idx="659">
                  <c:v>83.875499999999988</c:v>
                </c:pt>
                <c:pt idx="660">
                  <c:v>83.875499999999988</c:v>
                </c:pt>
                <c:pt idx="661">
                  <c:v>83.875499999999988</c:v>
                </c:pt>
                <c:pt idx="662">
                  <c:v>83.875499999999988</c:v>
                </c:pt>
                <c:pt idx="663">
                  <c:v>83.875499999999988</c:v>
                </c:pt>
                <c:pt idx="664">
                  <c:v>83.875499999999988</c:v>
                </c:pt>
                <c:pt idx="665">
                  <c:v>83.875499999999988</c:v>
                </c:pt>
                <c:pt idx="666">
                  <c:v>83.875499999999988</c:v>
                </c:pt>
                <c:pt idx="667">
                  <c:v>83.875499999999988</c:v>
                </c:pt>
                <c:pt idx="668">
                  <c:v>83.875499999999988</c:v>
                </c:pt>
                <c:pt idx="669">
                  <c:v>83.875499999999988</c:v>
                </c:pt>
                <c:pt idx="670">
                  <c:v>83.875499999999988</c:v>
                </c:pt>
                <c:pt idx="671">
                  <c:v>83.875499999999988</c:v>
                </c:pt>
                <c:pt idx="672">
                  <c:v>83.875499999999988</c:v>
                </c:pt>
                <c:pt idx="673">
                  <c:v>83.875499999999988</c:v>
                </c:pt>
                <c:pt idx="674">
                  <c:v>83.875499999999988</c:v>
                </c:pt>
                <c:pt idx="675">
                  <c:v>83.875499999999988</c:v>
                </c:pt>
                <c:pt idx="676">
                  <c:v>83.875499999999988</c:v>
                </c:pt>
                <c:pt idx="677">
                  <c:v>83.875499999999988</c:v>
                </c:pt>
                <c:pt idx="678">
                  <c:v>83.875499999999988</c:v>
                </c:pt>
                <c:pt idx="679">
                  <c:v>83.875499999999988</c:v>
                </c:pt>
                <c:pt idx="680">
                  <c:v>83.875499999999988</c:v>
                </c:pt>
                <c:pt idx="681">
                  <c:v>83.875499999999988</c:v>
                </c:pt>
                <c:pt idx="682">
                  <c:v>83.875499999999988</c:v>
                </c:pt>
                <c:pt idx="683">
                  <c:v>83.875499999999988</c:v>
                </c:pt>
                <c:pt idx="684">
                  <c:v>83.875499999999988</c:v>
                </c:pt>
                <c:pt idx="685">
                  <c:v>83.875499999999988</c:v>
                </c:pt>
                <c:pt idx="686">
                  <c:v>83.875499999999988</c:v>
                </c:pt>
                <c:pt idx="687">
                  <c:v>83.875499999999988</c:v>
                </c:pt>
                <c:pt idx="688">
                  <c:v>83.875499999999988</c:v>
                </c:pt>
                <c:pt idx="689">
                  <c:v>83.875499999999988</c:v>
                </c:pt>
                <c:pt idx="690">
                  <c:v>83.875499999999988</c:v>
                </c:pt>
                <c:pt idx="691">
                  <c:v>83.875499999999988</c:v>
                </c:pt>
                <c:pt idx="692">
                  <c:v>83.875499999999988</c:v>
                </c:pt>
                <c:pt idx="693">
                  <c:v>83.875499999999988</c:v>
                </c:pt>
                <c:pt idx="694">
                  <c:v>83.875499999999988</c:v>
                </c:pt>
                <c:pt idx="695">
                  <c:v>83.875499999999988</c:v>
                </c:pt>
                <c:pt idx="696">
                  <c:v>83.875499999999988</c:v>
                </c:pt>
                <c:pt idx="697">
                  <c:v>83.875499999999988</c:v>
                </c:pt>
                <c:pt idx="698">
                  <c:v>83.875499999999988</c:v>
                </c:pt>
                <c:pt idx="699">
                  <c:v>83.875499999999988</c:v>
                </c:pt>
                <c:pt idx="700">
                  <c:v>83.875499999999988</c:v>
                </c:pt>
                <c:pt idx="701">
                  <c:v>83.875499999999988</c:v>
                </c:pt>
                <c:pt idx="702">
                  <c:v>83.875499999999988</c:v>
                </c:pt>
                <c:pt idx="703">
                  <c:v>83.875499999999988</c:v>
                </c:pt>
                <c:pt idx="704">
                  <c:v>83.875499999999988</c:v>
                </c:pt>
                <c:pt idx="705">
                  <c:v>83.875499999999988</c:v>
                </c:pt>
                <c:pt idx="706">
                  <c:v>83.875499999999988</c:v>
                </c:pt>
                <c:pt idx="707">
                  <c:v>83.875499999999988</c:v>
                </c:pt>
                <c:pt idx="708">
                  <c:v>83.875499999999988</c:v>
                </c:pt>
                <c:pt idx="709">
                  <c:v>83.875499999999988</c:v>
                </c:pt>
                <c:pt idx="710">
                  <c:v>83.875499999999988</c:v>
                </c:pt>
                <c:pt idx="711">
                  <c:v>83.875499999999988</c:v>
                </c:pt>
                <c:pt idx="712">
                  <c:v>83.875499999999988</c:v>
                </c:pt>
                <c:pt idx="713">
                  <c:v>83.875499999999988</c:v>
                </c:pt>
                <c:pt idx="714">
                  <c:v>83.875499999999988</c:v>
                </c:pt>
                <c:pt idx="715">
                  <c:v>83.875499999999988</c:v>
                </c:pt>
                <c:pt idx="716">
                  <c:v>83.875499999999988</c:v>
                </c:pt>
                <c:pt idx="717">
                  <c:v>83.875499999999988</c:v>
                </c:pt>
                <c:pt idx="718">
                  <c:v>83.875499999999988</c:v>
                </c:pt>
                <c:pt idx="719">
                  <c:v>83.875499999999988</c:v>
                </c:pt>
                <c:pt idx="720">
                  <c:v>83.875499999999988</c:v>
                </c:pt>
                <c:pt idx="721">
                  <c:v>83.875499999999988</c:v>
                </c:pt>
                <c:pt idx="722">
                  <c:v>83.875499999999988</c:v>
                </c:pt>
                <c:pt idx="723">
                  <c:v>83.875499999999988</c:v>
                </c:pt>
                <c:pt idx="724">
                  <c:v>83.875499999999988</c:v>
                </c:pt>
                <c:pt idx="725">
                  <c:v>83.875499999999988</c:v>
                </c:pt>
                <c:pt idx="726">
                  <c:v>83.875499999999988</c:v>
                </c:pt>
                <c:pt idx="727">
                  <c:v>83.875499999999988</c:v>
                </c:pt>
                <c:pt idx="728">
                  <c:v>83.875499999999988</c:v>
                </c:pt>
                <c:pt idx="729">
                  <c:v>83.875499999999988</c:v>
                </c:pt>
                <c:pt idx="730">
                  <c:v>83.875499999999988</c:v>
                </c:pt>
                <c:pt idx="731">
                  <c:v>83.875499999999988</c:v>
                </c:pt>
                <c:pt idx="732">
                  <c:v>83.875499999999988</c:v>
                </c:pt>
                <c:pt idx="733">
                  <c:v>83.875499999999988</c:v>
                </c:pt>
                <c:pt idx="734">
                  <c:v>83.875499999999988</c:v>
                </c:pt>
                <c:pt idx="735">
                  <c:v>83.875499999999988</c:v>
                </c:pt>
                <c:pt idx="736">
                  <c:v>83.875499999999988</c:v>
                </c:pt>
                <c:pt idx="737">
                  <c:v>83.875499999999988</c:v>
                </c:pt>
                <c:pt idx="738">
                  <c:v>83.875499999999988</c:v>
                </c:pt>
                <c:pt idx="739">
                  <c:v>83.875499999999988</c:v>
                </c:pt>
                <c:pt idx="740">
                  <c:v>83.875499999999988</c:v>
                </c:pt>
                <c:pt idx="741">
                  <c:v>83.875499999999988</c:v>
                </c:pt>
                <c:pt idx="742">
                  <c:v>83.875499999999988</c:v>
                </c:pt>
                <c:pt idx="743">
                  <c:v>83.875499999999988</c:v>
                </c:pt>
                <c:pt idx="744">
                  <c:v>83.875499999999988</c:v>
                </c:pt>
                <c:pt idx="745">
                  <c:v>83.875499999999988</c:v>
                </c:pt>
                <c:pt idx="746">
                  <c:v>83.875499999999988</c:v>
                </c:pt>
                <c:pt idx="747">
                  <c:v>83.875499999999988</c:v>
                </c:pt>
                <c:pt idx="748">
                  <c:v>83.875499999999988</c:v>
                </c:pt>
                <c:pt idx="749">
                  <c:v>83.875499999999988</c:v>
                </c:pt>
                <c:pt idx="750">
                  <c:v>83.875499999999988</c:v>
                </c:pt>
                <c:pt idx="751">
                  <c:v>83.875499999999988</c:v>
                </c:pt>
                <c:pt idx="752">
                  <c:v>83.875499999999988</c:v>
                </c:pt>
                <c:pt idx="753">
                  <c:v>83.875499999999988</c:v>
                </c:pt>
                <c:pt idx="754">
                  <c:v>83.875499999999988</c:v>
                </c:pt>
                <c:pt idx="755">
                  <c:v>83.875499999999988</c:v>
                </c:pt>
                <c:pt idx="756">
                  <c:v>83.875499999999988</c:v>
                </c:pt>
                <c:pt idx="757">
                  <c:v>83.875499999999988</c:v>
                </c:pt>
                <c:pt idx="758">
                  <c:v>83.875499999999988</c:v>
                </c:pt>
                <c:pt idx="759">
                  <c:v>83.875499999999988</c:v>
                </c:pt>
                <c:pt idx="760">
                  <c:v>83.875499999999988</c:v>
                </c:pt>
                <c:pt idx="761">
                  <c:v>83.875499999999988</c:v>
                </c:pt>
                <c:pt idx="762">
                  <c:v>83.875499999999988</c:v>
                </c:pt>
                <c:pt idx="763">
                  <c:v>83.875499999999988</c:v>
                </c:pt>
                <c:pt idx="764">
                  <c:v>83.875499999999988</c:v>
                </c:pt>
                <c:pt idx="765">
                  <c:v>83.875499999999988</c:v>
                </c:pt>
                <c:pt idx="766">
                  <c:v>83.875499999999988</c:v>
                </c:pt>
                <c:pt idx="767">
                  <c:v>83.875499999999988</c:v>
                </c:pt>
                <c:pt idx="768">
                  <c:v>83.875499999999988</c:v>
                </c:pt>
                <c:pt idx="769">
                  <c:v>83.875499999999988</c:v>
                </c:pt>
                <c:pt idx="770">
                  <c:v>83.875499999999988</c:v>
                </c:pt>
                <c:pt idx="771">
                  <c:v>83.875499999999988</c:v>
                </c:pt>
                <c:pt idx="772">
                  <c:v>83.875499999999988</c:v>
                </c:pt>
                <c:pt idx="773">
                  <c:v>83.875499999999988</c:v>
                </c:pt>
                <c:pt idx="774">
                  <c:v>83.875499999999988</c:v>
                </c:pt>
                <c:pt idx="775">
                  <c:v>83.875499999999988</c:v>
                </c:pt>
                <c:pt idx="776">
                  <c:v>83.875499999999988</c:v>
                </c:pt>
                <c:pt idx="777">
                  <c:v>83.875499999999988</c:v>
                </c:pt>
                <c:pt idx="778">
                  <c:v>83.875499999999988</c:v>
                </c:pt>
                <c:pt idx="779">
                  <c:v>83.875499999999988</c:v>
                </c:pt>
                <c:pt idx="780">
                  <c:v>83.875499999999988</c:v>
                </c:pt>
                <c:pt idx="781">
                  <c:v>83.875499999999988</c:v>
                </c:pt>
                <c:pt idx="782">
                  <c:v>83.875499999999988</c:v>
                </c:pt>
                <c:pt idx="783">
                  <c:v>83.875499999999988</c:v>
                </c:pt>
                <c:pt idx="784">
                  <c:v>83.875499999999988</c:v>
                </c:pt>
                <c:pt idx="785">
                  <c:v>83.875499999999988</c:v>
                </c:pt>
                <c:pt idx="786">
                  <c:v>83.875499999999988</c:v>
                </c:pt>
                <c:pt idx="787">
                  <c:v>83.875499999999988</c:v>
                </c:pt>
                <c:pt idx="788">
                  <c:v>83.875499999999988</c:v>
                </c:pt>
                <c:pt idx="789">
                  <c:v>83.875499999999988</c:v>
                </c:pt>
                <c:pt idx="790">
                  <c:v>83.875499999999988</c:v>
                </c:pt>
                <c:pt idx="791">
                  <c:v>83.875499999999988</c:v>
                </c:pt>
                <c:pt idx="792">
                  <c:v>83.875499999999988</c:v>
                </c:pt>
                <c:pt idx="793">
                  <c:v>83.875499999999988</c:v>
                </c:pt>
                <c:pt idx="794">
                  <c:v>83.875499999999988</c:v>
                </c:pt>
                <c:pt idx="795">
                  <c:v>83.875499999999988</c:v>
                </c:pt>
                <c:pt idx="796">
                  <c:v>83.875499999999988</c:v>
                </c:pt>
                <c:pt idx="797">
                  <c:v>83.875499999999988</c:v>
                </c:pt>
                <c:pt idx="798">
                  <c:v>83.875499999999988</c:v>
                </c:pt>
                <c:pt idx="799">
                  <c:v>83.875499999999988</c:v>
                </c:pt>
                <c:pt idx="800">
                  <c:v>83.875499999999988</c:v>
                </c:pt>
                <c:pt idx="801">
                  <c:v>83.875499999999988</c:v>
                </c:pt>
                <c:pt idx="802">
                  <c:v>83.875499999999988</c:v>
                </c:pt>
                <c:pt idx="803">
                  <c:v>83.875499999999988</c:v>
                </c:pt>
                <c:pt idx="804">
                  <c:v>83.875499999999988</c:v>
                </c:pt>
                <c:pt idx="805">
                  <c:v>83.875499999999988</c:v>
                </c:pt>
                <c:pt idx="806">
                  <c:v>83.875499999999988</c:v>
                </c:pt>
                <c:pt idx="807">
                  <c:v>83.875499999999988</c:v>
                </c:pt>
                <c:pt idx="808">
                  <c:v>83.875499999999988</c:v>
                </c:pt>
                <c:pt idx="809">
                  <c:v>83.875499999999988</c:v>
                </c:pt>
                <c:pt idx="810">
                  <c:v>83.875499999999988</c:v>
                </c:pt>
                <c:pt idx="811">
                  <c:v>83.875499999999988</c:v>
                </c:pt>
                <c:pt idx="812">
                  <c:v>83.875499999999988</c:v>
                </c:pt>
                <c:pt idx="813">
                  <c:v>83.875499999999988</c:v>
                </c:pt>
                <c:pt idx="814">
                  <c:v>83.875499999999988</c:v>
                </c:pt>
                <c:pt idx="815">
                  <c:v>83.875499999999988</c:v>
                </c:pt>
                <c:pt idx="816">
                  <c:v>83.875499999999988</c:v>
                </c:pt>
                <c:pt idx="817">
                  <c:v>83.875499999999988</c:v>
                </c:pt>
                <c:pt idx="818">
                  <c:v>83.875499999999988</c:v>
                </c:pt>
                <c:pt idx="819">
                  <c:v>83.875499999999988</c:v>
                </c:pt>
                <c:pt idx="820">
                  <c:v>83.875499999999988</c:v>
                </c:pt>
                <c:pt idx="821">
                  <c:v>83.875499999999988</c:v>
                </c:pt>
                <c:pt idx="822">
                  <c:v>83.875499999999988</c:v>
                </c:pt>
                <c:pt idx="823">
                  <c:v>83.875499999999988</c:v>
                </c:pt>
                <c:pt idx="824">
                  <c:v>83.875499999999988</c:v>
                </c:pt>
                <c:pt idx="825">
                  <c:v>83.875499999999988</c:v>
                </c:pt>
                <c:pt idx="826">
                  <c:v>83.875499999999988</c:v>
                </c:pt>
                <c:pt idx="827">
                  <c:v>83.875499999999988</c:v>
                </c:pt>
                <c:pt idx="828">
                  <c:v>83.875499999999988</c:v>
                </c:pt>
                <c:pt idx="829">
                  <c:v>83.875499999999988</c:v>
                </c:pt>
                <c:pt idx="830">
                  <c:v>83.875499999999988</c:v>
                </c:pt>
                <c:pt idx="831">
                  <c:v>83.875499999999988</c:v>
                </c:pt>
                <c:pt idx="832">
                  <c:v>83.875499999999988</c:v>
                </c:pt>
                <c:pt idx="833">
                  <c:v>83.875499999999988</c:v>
                </c:pt>
                <c:pt idx="834">
                  <c:v>83.875499999999988</c:v>
                </c:pt>
                <c:pt idx="835">
                  <c:v>83.875499999999988</c:v>
                </c:pt>
                <c:pt idx="836">
                  <c:v>83.875499999999988</c:v>
                </c:pt>
                <c:pt idx="837">
                  <c:v>83.875499999999988</c:v>
                </c:pt>
                <c:pt idx="838">
                  <c:v>83.875499999999988</c:v>
                </c:pt>
                <c:pt idx="839">
                  <c:v>83.875499999999988</c:v>
                </c:pt>
                <c:pt idx="840">
                  <c:v>83.875499999999988</c:v>
                </c:pt>
                <c:pt idx="841">
                  <c:v>83.875499999999988</c:v>
                </c:pt>
                <c:pt idx="842">
                  <c:v>83.875499999999988</c:v>
                </c:pt>
                <c:pt idx="843">
                  <c:v>83.875499999999988</c:v>
                </c:pt>
                <c:pt idx="844">
                  <c:v>83.875499999999988</c:v>
                </c:pt>
                <c:pt idx="845">
                  <c:v>83.875499999999988</c:v>
                </c:pt>
                <c:pt idx="846">
                  <c:v>83.875499999999988</c:v>
                </c:pt>
                <c:pt idx="847">
                  <c:v>83.875499999999988</c:v>
                </c:pt>
                <c:pt idx="848">
                  <c:v>83.875499999999988</c:v>
                </c:pt>
                <c:pt idx="849">
                  <c:v>83.875499999999988</c:v>
                </c:pt>
                <c:pt idx="850">
                  <c:v>83.875499999999988</c:v>
                </c:pt>
                <c:pt idx="851">
                  <c:v>83.875499999999988</c:v>
                </c:pt>
                <c:pt idx="852">
                  <c:v>83.875499999999988</c:v>
                </c:pt>
                <c:pt idx="853">
                  <c:v>83.875499999999988</c:v>
                </c:pt>
                <c:pt idx="854">
                  <c:v>83.875499999999988</c:v>
                </c:pt>
                <c:pt idx="855">
                  <c:v>83.875499999999988</c:v>
                </c:pt>
                <c:pt idx="856">
                  <c:v>83.875499999999988</c:v>
                </c:pt>
                <c:pt idx="857">
                  <c:v>83.875499999999988</c:v>
                </c:pt>
                <c:pt idx="858">
                  <c:v>83.875499999999988</c:v>
                </c:pt>
                <c:pt idx="859">
                  <c:v>83.875499999999988</c:v>
                </c:pt>
                <c:pt idx="860">
                  <c:v>83.875499999999988</c:v>
                </c:pt>
                <c:pt idx="861">
                  <c:v>83.875499999999988</c:v>
                </c:pt>
                <c:pt idx="862">
                  <c:v>83.875499999999988</c:v>
                </c:pt>
                <c:pt idx="863">
                  <c:v>83.875499999999988</c:v>
                </c:pt>
                <c:pt idx="864">
                  <c:v>83.875499999999988</c:v>
                </c:pt>
                <c:pt idx="865">
                  <c:v>83.875499999999988</c:v>
                </c:pt>
                <c:pt idx="866">
                  <c:v>83.875499999999988</c:v>
                </c:pt>
                <c:pt idx="867">
                  <c:v>83.875499999999988</c:v>
                </c:pt>
                <c:pt idx="868">
                  <c:v>83.875499999999988</c:v>
                </c:pt>
                <c:pt idx="869">
                  <c:v>83.875499999999988</c:v>
                </c:pt>
                <c:pt idx="870">
                  <c:v>83.875499999999988</c:v>
                </c:pt>
                <c:pt idx="871">
                  <c:v>83.875499999999988</c:v>
                </c:pt>
                <c:pt idx="872">
                  <c:v>83.875499999999988</c:v>
                </c:pt>
                <c:pt idx="873">
                  <c:v>83.875499999999988</c:v>
                </c:pt>
                <c:pt idx="874">
                  <c:v>83.875499999999988</c:v>
                </c:pt>
                <c:pt idx="875">
                  <c:v>83.875499999999988</c:v>
                </c:pt>
                <c:pt idx="876">
                  <c:v>83.875499999999988</c:v>
                </c:pt>
                <c:pt idx="877">
                  <c:v>83.875499999999988</c:v>
                </c:pt>
                <c:pt idx="878">
                  <c:v>83.875499999999988</c:v>
                </c:pt>
                <c:pt idx="879">
                  <c:v>83.875499999999988</c:v>
                </c:pt>
                <c:pt idx="880">
                  <c:v>83.875499999999988</c:v>
                </c:pt>
                <c:pt idx="881">
                  <c:v>83.875499999999988</c:v>
                </c:pt>
                <c:pt idx="882">
                  <c:v>83.875499999999988</c:v>
                </c:pt>
                <c:pt idx="883">
                  <c:v>83.875499999999988</c:v>
                </c:pt>
                <c:pt idx="884">
                  <c:v>83.875499999999988</c:v>
                </c:pt>
                <c:pt idx="885">
                  <c:v>83.875499999999988</c:v>
                </c:pt>
                <c:pt idx="886">
                  <c:v>83.875499999999988</c:v>
                </c:pt>
                <c:pt idx="887">
                  <c:v>83.875499999999988</c:v>
                </c:pt>
                <c:pt idx="888">
                  <c:v>83.875499999999988</c:v>
                </c:pt>
                <c:pt idx="889">
                  <c:v>83.875499999999988</c:v>
                </c:pt>
                <c:pt idx="890">
                  <c:v>83.875499999999988</c:v>
                </c:pt>
                <c:pt idx="891">
                  <c:v>83.875499999999988</c:v>
                </c:pt>
                <c:pt idx="892">
                  <c:v>83.875499999999988</c:v>
                </c:pt>
                <c:pt idx="893">
                  <c:v>83.875499999999988</c:v>
                </c:pt>
                <c:pt idx="894">
                  <c:v>83.875499999999988</c:v>
                </c:pt>
                <c:pt idx="895">
                  <c:v>83.875499999999988</c:v>
                </c:pt>
                <c:pt idx="896">
                  <c:v>83.875499999999988</c:v>
                </c:pt>
                <c:pt idx="897">
                  <c:v>83.875499999999988</c:v>
                </c:pt>
                <c:pt idx="898">
                  <c:v>83.875499999999988</c:v>
                </c:pt>
                <c:pt idx="899">
                  <c:v>83.875499999999988</c:v>
                </c:pt>
                <c:pt idx="900">
                  <c:v>83.875499999999988</c:v>
                </c:pt>
                <c:pt idx="901">
                  <c:v>83.875499999999988</c:v>
                </c:pt>
                <c:pt idx="902">
                  <c:v>83.875499999999988</c:v>
                </c:pt>
                <c:pt idx="903">
                  <c:v>83.875499999999988</c:v>
                </c:pt>
                <c:pt idx="904">
                  <c:v>83.875499999999988</c:v>
                </c:pt>
                <c:pt idx="905">
                  <c:v>83.875499999999988</c:v>
                </c:pt>
                <c:pt idx="906">
                  <c:v>83.875499999999988</c:v>
                </c:pt>
                <c:pt idx="907">
                  <c:v>83.875499999999988</c:v>
                </c:pt>
                <c:pt idx="908">
                  <c:v>83.875499999999988</c:v>
                </c:pt>
                <c:pt idx="909">
                  <c:v>83.875499999999988</c:v>
                </c:pt>
                <c:pt idx="910">
                  <c:v>83.875499999999988</c:v>
                </c:pt>
                <c:pt idx="911">
                  <c:v>83.875499999999988</c:v>
                </c:pt>
                <c:pt idx="912">
                  <c:v>83.875499999999988</c:v>
                </c:pt>
                <c:pt idx="913">
                  <c:v>83.875499999999988</c:v>
                </c:pt>
                <c:pt idx="914">
                  <c:v>83.875499999999988</c:v>
                </c:pt>
                <c:pt idx="915">
                  <c:v>83.875499999999988</c:v>
                </c:pt>
                <c:pt idx="916">
                  <c:v>83.875499999999988</c:v>
                </c:pt>
                <c:pt idx="917">
                  <c:v>83.875499999999988</c:v>
                </c:pt>
                <c:pt idx="918">
                  <c:v>83.875499999999988</c:v>
                </c:pt>
                <c:pt idx="919">
                  <c:v>83.875499999999988</c:v>
                </c:pt>
                <c:pt idx="920">
                  <c:v>83.875499999999988</c:v>
                </c:pt>
                <c:pt idx="921">
                  <c:v>83.875499999999988</c:v>
                </c:pt>
                <c:pt idx="922">
                  <c:v>83.875499999999988</c:v>
                </c:pt>
                <c:pt idx="923">
                  <c:v>83.875499999999988</c:v>
                </c:pt>
                <c:pt idx="924">
                  <c:v>83.875499999999988</c:v>
                </c:pt>
                <c:pt idx="925">
                  <c:v>83.875499999999988</c:v>
                </c:pt>
                <c:pt idx="926">
                  <c:v>83.875499999999988</c:v>
                </c:pt>
                <c:pt idx="927">
                  <c:v>83.875499999999988</c:v>
                </c:pt>
                <c:pt idx="928">
                  <c:v>83.875499999999988</c:v>
                </c:pt>
                <c:pt idx="929">
                  <c:v>83.875499999999988</c:v>
                </c:pt>
                <c:pt idx="930">
                  <c:v>83.875499999999988</c:v>
                </c:pt>
                <c:pt idx="931">
                  <c:v>83.875499999999988</c:v>
                </c:pt>
                <c:pt idx="932">
                  <c:v>83.875499999999988</c:v>
                </c:pt>
                <c:pt idx="933">
                  <c:v>83.875499999999988</c:v>
                </c:pt>
                <c:pt idx="934">
                  <c:v>83.875499999999988</c:v>
                </c:pt>
                <c:pt idx="935">
                  <c:v>83.875499999999988</c:v>
                </c:pt>
                <c:pt idx="936">
                  <c:v>83.875499999999988</c:v>
                </c:pt>
                <c:pt idx="937">
                  <c:v>83.875499999999988</c:v>
                </c:pt>
                <c:pt idx="938">
                  <c:v>83.875499999999988</c:v>
                </c:pt>
                <c:pt idx="939">
                  <c:v>83.875499999999988</c:v>
                </c:pt>
                <c:pt idx="940">
                  <c:v>83.875499999999988</c:v>
                </c:pt>
                <c:pt idx="941">
                  <c:v>83.875499999999988</c:v>
                </c:pt>
                <c:pt idx="942">
                  <c:v>83.875499999999988</c:v>
                </c:pt>
                <c:pt idx="943">
                  <c:v>83.875499999999988</c:v>
                </c:pt>
                <c:pt idx="944">
                  <c:v>83.875499999999988</c:v>
                </c:pt>
                <c:pt idx="945">
                  <c:v>83.875499999999988</c:v>
                </c:pt>
                <c:pt idx="946">
                  <c:v>83.875499999999988</c:v>
                </c:pt>
                <c:pt idx="947">
                  <c:v>83.875499999999988</c:v>
                </c:pt>
                <c:pt idx="948">
                  <c:v>83.875499999999988</c:v>
                </c:pt>
                <c:pt idx="949">
                  <c:v>83.875499999999988</c:v>
                </c:pt>
                <c:pt idx="950">
                  <c:v>83.875499999999988</c:v>
                </c:pt>
                <c:pt idx="951">
                  <c:v>83.875499999999988</c:v>
                </c:pt>
                <c:pt idx="952">
                  <c:v>83.875499999999988</c:v>
                </c:pt>
                <c:pt idx="953">
                  <c:v>83.875499999999988</c:v>
                </c:pt>
                <c:pt idx="954">
                  <c:v>83.875499999999988</c:v>
                </c:pt>
                <c:pt idx="955">
                  <c:v>83.875499999999988</c:v>
                </c:pt>
                <c:pt idx="956">
                  <c:v>83.875499999999988</c:v>
                </c:pt>
                <c:pt idx="957">
                  <c:v>83.875499999999988</c:v>
                </c:pt>
                <c:pt idx="958">
                  <c:v>83.875499999999988</c:v>
                </c:pt>
                <c:pt idx="959">
                  <c:v>83.875499999999988</c:v>
                </c:pt>
                <c:pt idx="960">
                  <c:v>83.875499999999988</c:v>
                </c:pt>
                <c:pt idx="961">
                  <c:v>83.875499999999988</c:v>
                </c:pt>
                <c:pt idx="962">
                  <c:v>83.875499999999988</c:v>
                </c:pt>
                <c:pt idx="963">
                  <c:v>83.875499999999988</c:v>
                </c:pt>
                <c:pt idx="964">
                  <c:v>83.875499999999988</c:v>
                </c:pt>
                <c:pt idx="965">
                  <c:v>83.875499999999988</c:v>
                </c:pt>
                <c:pt idx="966">
                  <c:v>83.875499999999988</c:v>
                </c:pt>
                <c:pt idx="967">
                  <c:v>83.875499999999988</c:v>
                </c:pt>
                <c:pt idx="968">
                  <c:v>83.875499999999988</c:v>
                </c:pt>
                <c:pt idx="969">
                  <c:v>83.875499999999988</c:v>
                </c:pt>
                <c:pt idx="970">
                  <c:v>83.875499999999988</c:v>
                </c:pt>
                <c:pt idx="971">
                  <c:v>83.875499999999988</c:v>
                </c:pt>
                <c:pt idx="972">
                  <c:v>83.875499999999988</c:v>
                </c:pt>
                <c:pt idx="973">
                  <c:v>83.875499999999988</c:v>
                </c:pt>
                <c:pt idx="974">
                  <c:v>83.875499999999988</c:v>
                </c:pt>
                <c:pt idx="975">
                  <c:v>83.875499999999988</c:v>
                </c:pt>
                <c:pt idx="976">
                  <c:v>83.875499999999988</c:v>
                </c:pt>
                <c:pt idx="977">
                  <c:v>83.875499999999988</c:v>
                </c:pt>
                <c:pt idx="978">
                  <c:v>83.875499999999988</c:v>
                </c:pt>
                <c:pt idx="979">
                  <c:v>83.875499999999988</c:v>
                </c:pt>
                <c:pt idx="980">
                  <c:v>83.875499999999988</c:v>
                </c:pt>
                <c:pt idx="981">
                  <c:v>83.875499999999988</c:v>
                </c:pt>
                <c:pt idx="982">
                  <c:v>83.875499999999988</c:v>
                </c:pt>
                <c:pt idx="983">
                  <c:v>83.875499999999988</c:v>
                </c:pt>
                <c:pt idx="984">
                  <c:v>83.875499999999988</c:v>
                </c:pt>
                <c:pt idx="985">
                  <c:v>83.875499999999988</c:v>
                </c:pt>
                <c:pt idx="986">
                  <c:v>83.875499999999988</c:v>
                </c:pt>
                <c:pt idx="987">
                  <c:v>83.875499999999988</c:v>
                </c:pt>
                <c:pt idx="988">
                  <c:v>83.875499999999988</c:v>
                </c:pt>
                <c:pt idx="989">
                  <c:v>83.875499999999988</c:v>
                </c:pt>
                <c:pt idx="990">
                  <c:v>83.875499999999988</c:v>
                </c:pt>
                <c:pt idx="991">
                  <c:v>83.875499999999988</c:v>
                </c:pt>
                <c:pt idx="992">
                  <c:v>83.875499999999988</c:v>
                </c:pt>
                <c:pt idx="993">
                  <c:v>83.875499999999988</c:v>
                </c:pt>
                <c:pt idx="994">
                  <c:v>83.875499999999988</c:v>
                </c:pt>
                <c:pt idx="995">
                  <c:v>83.875499999999988</c:v>
                </c:pt>
                <c:pt idx="996">
                  <c:v>83.875499999999988</c:v>
                </c:pt>
                <c:pt idx="997">
                  <c:v>83.875499999999988</c:v>
                </c:pt>
                <c:pt idx="998">
                  <c:v>83.875499999999988</c:v>
                </c:pt>
                <c:pt idx="999">
                  <c:v>83.875499999999988</c:v>
                </c:pt>
                <c:pt idx="1000">
                  <c:v>83.875499999999988</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33.100100000000204</c:v>
                </c:pt>
                <c:pt idx="513">
                  <c:v>33.100200000000207</c:v>
                </c:pt>
                <c:pt idx="514">
                  <c:v>33.10030000000021</c:v>
                </c:pt>
                <c:pt idx="515">
                  <c:v>33.100400000000214</c:v>
                </c:pt>
                <c:pt idx="516">
                  <c:v>33.100500000000217</c:v>
                </c:pt>
                <c:pt idx="517">
                  <c:v>33.10060000000022</c:v>
                </c:pt>
                <c:pt idx="518">
                  <c:v>33.100700000000224</c:v>
                </c:pt>
                <c:pt idx="519">
                  <c:v>33.100800000000227</c:v>
                </c:pt>
                <c:pt idx="520">
                  <c:v>33.10090000000023</c:v>
                </c:pt>
                <c:pt idx="521">
                  <c:v>33.101000000000234</c:v>
                </c:pt>
                <c:pt idx="522">
                  <c:v>33.101100000000237</c:v>
                </c:pt>
                <c:pt idx="523">
                  <c:v>33.10120000000024</c:v>
                </c:pt>
                <c:pt idx="524">
                  <c:v>33.101300000000244</c:v>
                </c:pt>
                <c:pt idx="525">
                  <c:v>33.101400000000247</c:v>
                </c:pt>
                <c:pt idx="526">
                  <c:v>33.10150000000025</c:v>
                </c:pt>
                <c:pt idx="527">
                  <c:v>33.101600000000253</c:v>
                </c:pt>
                <c:pt idx="528">
                  <c:v>33.101700000000257</c:v>
                </c:pt>
                <c:pt idx="529">
                  <c:v>33.10180000000026</c:v>
                </c:pt>
                <c:pt idx="530">
                  <c:v>33.101900000000263</c:v>
                </c:pt>
                <c:pt idx="531">
                  <c:v>33.102000000000267</c:v>
                </c:pt>
                <c:pt idx="532">
                  <c:v>33.10210000000027</c:v>
                </c:pt>
                <c:pt idx="533">
                  <c:v>33.102200000000273</c:v>
                </c:pt>
                <c:pt idx="534">
                  <c:v>33.102300000000277</c:v>
                </c:pt>
                <c:pt idx="535">
                  <c:v>33.10240000000028</c:v>
                </c:pt>
                <c:pt idx="536">
                  <c:v>33.102500000000283</c:v>
                </c:pt>
                <c:pt idx="537">
                  <c:v>33.102600000000287</c:v>
                </c:pt>
                <c:pt idx="538">
                  <c:v>33.10270000000029</c:v>
                </c:pt>
                <c:pt idx="539">
                  <c:v>33.102800000000293</c:v>
                </c:pt>
                <c:pt idx="540">
                  <c:v>33.102900000000297</c:v>
                </c:pt>
                <c:pt idx="541">
                  <c:v>33.1030000000003</c:v>
                </c:pt>
                <c:pt idx="542">
                  <c:v>33.103100000000303</c:v>
                </c:pt>
                <c:pt idx="543">
                  <c:v>33.103200000000307</c:v>
                </c:pt>
                <c:pt idx="544">
                  <c:v>33.10330000000031</c:v>
                </c:pt>
                <c:pt idx="545">
                  <c:v>33.103400000000313</c:v>
                </c:pt>
                <c:pt idx="546">
                  <c:v>33.103500000000317</c:v>
                </c:pt>
                <c:pt idx="547">
                  <c:v>33.10360000000032</c:v>
                </c:pt>
                <c:pt idx="548">
                  <c:v>33.103700000000323</c:v>
                </c:pt>
                <c:pt idx="549">
                  <c:v>33.103800000000327</c:v>
                </c:pt>
                <c:pt idx="550">
                  <c:v>33.10390000000033</c:v>
                </c:pt>
                <c:pt idx="551">
                  <c:v>33.104000000000333</c:v>
                </c:pt>
                <c:pt idx="552">
                  <c:v>33.104100000000336</c:v>
                </c:pt>
                <c:pt idx="553">
                  <c:v>33.10420000000034</c:v>
                </c:pt>
                <c:pt idx="554">
                  <c:v>33.104300000000343</c:v>
                </c:pt>
                <c:pt idx="555">
                  <c:v>33.104400000000346</c:v>
                </c:pt>
                <c:pt idx="556">
                  <c:v>33.10450000000035</c:v>
                </c:pt>
                <c:pt idx="557">
                  <c:v>33.104600000000353</c:v>
                </c:pt>
                <c:pt idx="558">
                  <c:v>33.104700000000356</c:v>
                </c:pt>
                <c:pt idx="559">
                  <c:v>33.10480000000036</c:v>
                </c:pt>
                <c:pt idx="560">
                  <c:v>33.104900000000363</c:v>
                </c:pt>
                <c:pt idx="561">
                  <c:v>33.105000000000366</c:v>
                </c:pt>
                <c:pt idx="562">
                  <c:v>33.10510000000037</c:v>
                </c:pt>
                <c:pt idx="563">
                  <c:v>33.105200000000373</c:v>
                </c:pt>
                <c:pt idx="564">
                  <c:v>33.105300000000376</c:v>
                </c:pt>
                <c:pt idx="565">
                  <c:v>33.10540000000038</c:v>
                </c:pt>
                <c:pt idx="566">
                  <c:v>33.105500000000383</c:v>
                </c:pt>
                <c:pt idx="567">
                  <c:v>33.105600000000386</c:v>
                </c:pt>
                <c:pt idx="568">
                  <c:v>33.10570000000039</c:v>
                </c:pt>
                <c:pt idx="569">
                  <c:v>33.105800000000393</c:v>
                </c:pt>
                <c:pt idx="570">
                  <c:v>33.105900000000396</c:v>
                </c:pt>
                <c:pt idx="571">
                  <c:v>33.1060000000004</c:v>
                </c:pt>
                <c:pt idx="572">
                  <c:v>33.106100000000403</c:v>
                </c:pt>
                <c:pt idx="573">
                  <c:v>33.106200000000406</c:v>
                </c:pt>
                <c:pt idx="574">
                  <c:v>33.10630000000041</c:v>
                </c:pt>
                <c:pt idx="575">
                  <c:v>33.106400000000413</c:v>
                </c:pt>
                <c:pt idx="576">
                  <c:v>33.106500000000416</c:v>
                </c:pt>
                <c:pt idx="577">
                  <c:v>33.106600000000419</c:v>
                </c:pt>
                <c:pt idx="578">
                  <c:v>33.106700000000423</c:v>
                </c:pt>
                <c:pt idx="579">
                  <c:v>33.106800000000426</c:v>
                </c:pt>
                <c:pt idx="580">
                  <c:v>33.106900000000429</c:v>
                </c:pt>
                <c:pt idx="581">
                  <c:v>33.107000000000433</c:v>
                </c:pt>
                <c:pt idx="582">
                  <c:v>33.107100000000436</c:v>
                </c:pt>
                <c:pt idx="583">
                  <c:v>33.107200000000439</c:v>
                </c:pt>
                <c:pt idx="584">
                  <c:v>33.107300000000443</c:v>
                </c:pt>
                <c:pt idx="585">
                  <c:v>33.107400000000446</c:v>
                </c:pt>
                <c:pt idx="586">
                  <c:v>33.107500000000449</c:v>
                </c:pt>
                <c:pt idx="587">
                  <c:v>33.107600000000453</c:v>
                </c:pt>
                <c:pt idx="588">
                  <c:v>33.107700000000456</c:v>
                </c:pt>
                <c:pt idx="589">
                  <c:v>33.107800000000459</c:v>
                </c:pt>
                <c:pt idx="590">
                  <c:v>33.107900000000463</c:v>
                </c:pt>
                <c:pt idx="591">
                  <c:v>33.108000000000466</c:v>
                </c:pt>
                <c:pt idx="592">
                  <c:v>33.108100000000469</c:v>
                </c:pt>
                <c:pt idx="593">
                  <c:v>33.108200000000473</c:v>
                </c:pt>
                <c:pt idx="594">
                  <c:v>33.108300000000476</c:v>
                </c:pt>
                <c:pt idx="595">
                  <c:v>33.108400000000479</c:v>
                </c:pt>
                <c:pt idx="596">
                  <c:v>33.108500000000483</c:v>
                </c:pt>
                <c:pt idx="597">
                  <c:v>33.108600000000486</c:v>
                </c:pt>
                <c:pt idx="598">
                  <c:v>33.108700000000489</c:v>
                </c:pt>
                <c:pt idx="599">
                  <c:v>33.108800000000493</c:v>
                </c:pt>
                <c:pt idx="600">
                  <c:v>33.108900000000496</c:v>
                </c:pt>
                <c:pt idx="601">
                  <c:v>33.109000000000499</c:v>
                </c:pt>
                <c:pt idx="602">
                  <c:v>33.109100000000502</c:v>
                </c:pt>
                <c:pt idx="603">
                  <c:v>33.109200000000506</c:v>
                </c:pt>
                <c:pt idx="604">
                  <c:v>33.109300000000509</c:v>
                </c:pt>
                <c:pt idx="605">
                  <c:v>33.109400000000512</c:v>
                </c:pt>
                <c:pt idx="606">
                  <c:v>33.109500000000516</c:v>
                </c:pt>
                <c:pt idx="607">
                  <c:v>33.109600000000519</c:v>
                </c:pt>
                <c:pt idx="608">
                  <c:v>33.109700000000522</c:v>
                </c:pt>
                <c:pt idx="609">
                  <c:v>33.109800000000526</c:v>
                </c:pt>
                <c:pt idx="610">
                  <c:v>33.109900000000529</c:v>
                </c:pt>
                <c:pt idx="611">
                  <c:v>33.110000000000532</c:v>
                </c:pt>
                <c:pt idx="612">
                  <c:v>33.110100000000536</c:v>
                </c:pt>
                <c:pt idx="613">
                  <c:v>33.110200000000539</c:v>
                </c:pt>
                <c:pt idx="614">
                  <c:v>33.110300000000542</c:v>
                </c:pt>
                <c:pt idx="615">
                  <c:v>33.110400000000546</c:v>
                </c:pt>
                <c:pt idx="616">
                  <c:v>33.110500000000549</c:v>
                </c:pt>
                <c:pt idx="617">
                  <c:v>33.110600000000552</c:v>
                </c:pt>
                <c:pt idx="618">
                  <c:v>33.110700000000556</c:v>
                </c:pt>
                <c:pt idx="619">
                  <c:v>33.110800000000559</c:v>
                </c:pt>
                <c:pt idx="620">
                  <c:v>33.110900000000562</c:v>
                </c:pt>
                <c:pt idx="621">
                  <c:v>33.111000000000566</c:v>
                </c:pt>
                <c:pt idx="622">
                  <c:v>33.111100000000569</c:v>
                </c:pt>
                <c:pt idx="623">
                  <c:v>33.111200000000572</c:v>
                </c:pt>
                <c:pt idx="624">
                  <c:v>33.111300000000575</c:v>
                </c:pt>
                <c:pt idx="625">
                  <c:v>33.111400000000579</c:v>
                </c:pt>
                <c:pt idx="626">
                  <c:v>33.111500000000582</c:v>
                </c:pt>
                <c:pt idx="627">
                  <c:v>33.111600000000585</c:v>
                </c:pt>
                <c:pt idx="628">
                  <c:v>33.111700000000589</c:v>
                </c:pt>
                <c:pt idx="629">
                  <c:v>33.111800000000592</c:v>
                </c:pt>
                <c:pt idx="630">
                  <c:v>33.111900000000595</c:v>
                </c:pt>
                <c:pt idx="631">
                  <c:v>33.112000000000599</c:v>
                </c:pt>
                <c:pt idx="632">
                  <c:v>33.112100000000602</c:v>
                </c:pt>
                <c:pt idx="633">
                  <c:v>33.112200000000605</c:v>
                </c:pt>
                <c:pt idx="634">
                  <c:v>33.112300000000609</c:v>
                </c:pt>
                <c:pt idx="635">
                  <c:v>33.112400000000612</c:v>
                </c:pt>
                <c:pt idx="636">
                  <c:v>33.112500000000615</c:v>
                </c:pt>
                <c:pt idx="637">
                  <c:v>33.112600000000619</c:v>
                </c:pt>
                <c:pt idx="638">
                  <c:v>33.112700000000622</c:v>
                </c:pt>
                <c:pt idx="639">
                  <c:v>33.112800000000625</c:v>
                </c:pt>
                <c:pt idx="640">
                  <c:v>33.112900000000629</c:v>
                </c:pt>
                <c:pt idx="641">
                  <c:v>33.113000000000632</c:v>
                </c:pt>
                <c:pt idx="642">
                  <c:v>33.113100000000635</c:v>
                </c:pt>
                <c:pt idx="643">
                  <c:v>33.113200000000639</c:v>
                </c:pt>
                <c:pt idx="644">
                  <c:v>33.113300000000642</c:v>
                </c:pt>
                <c:pt idx="645">
                  <c:v>33.113400000000645</c:v>
                </c:pt>
                <c:pt idx="646">
                  <c:v>33.113500000000649</c:v>
                </c:pt>
                <c:pt idx="647">
                  <c:v>33.113600000000652</c:v>
                </c:pt>
                <c:pt idx="648">
                  <c:v>33.113700000000655</c:v>
                </c:pt>
                <c:pt idx="649">
                  <c:v>33.113800000000658</c:v>
                </c:pt>
                <c:pt idx="650">
                  <c:v>33.113900000000662</c:v>
                </c:pt>
                <c:pt idx="651">
                  <c:v>33.114000000000665</c:v>
                </c:pt>
                <c:pt idx="652">
                  <c:v>33.114100000000668</c:v>
                </c:pt>
                <c:pt idx="653">
                  <c:v>33.114200000000672</c:v>
                </c:pt>
                <c:pt idx="654">
                  <c:v>33.114300000000675</c:v>
                </c:pt>
                <c:pt idx="655">
                  <c:v>33.114400000000678</c:v>
                </c:pt>
                <c:pt idx="656">
                  <c:v>33.114500000000682</c:v>
                </c:pt>
                <c:pt idx="657">
                  <c:v>33.114600000000685</c:v>
                </c:pt>
                <c:pt idx="658">
                  <c:v>33.114700000000688</c:v>
                </c:pt>
                <c:pt idx="659">
                  <c:v>33.114800000000692</c:v>
                </c:pt>
                <c:pt idx="660">
                  <c:v>33.114900000000695</c:v>
                </c:pt>
                <c:pt idx="661">
                  <c:v>33.115000000000698</c:v>
                </c:pt>
                <c:pt idx="662">
                  <c:v>33.115100000000702</c:v>
                </c:pt>
                <c:pt idx="663">
                  <c:v>33.115200000000705</c:v>
                </c:pt>
                <c:pt idx="664">
                  <c:v>33.115300000000708</c:v>
                </c:pt>
                <c:pt idx="665">
                  <c:v>33.115400000000712</c:v>
                </c:pt>
                <c:pt idx="666">
                  <c:v>33.115500000000715</c:v>
                </c:pt>
                <c:pt idx="667">
                  <c:v>33.115600000000718</c:v>
                </c:pt>
                <c:pt idx="668">
                  <c:v>33.115700000000722</c:v>
                </c:pt>
                <c:pt idx="669">
                  <c:v>33.115800000000725</c:v>
                </c:pt>
                <c:pt idx="670">
                  <c:v>33.115900000000728</c:v>
                </c:pt>
                <c:pt idx="671">
                  <c:v>33.116000000000732</c:v>
                </c:pt>
                <c:pt idx="672">
                  <c:v>33.116100000000735</c:v>
                </c:pt>
                <c:pt idx="673">
                  <c:v>33.116200000000738</c:v>
                </c:pt>
                <c:pt idx="674">
                  <c:v>33.116300000000741</c:v>
                </c:pt>
                <c:pt idx="675">
                  <c:v>33.116400000000745</c:v>
                </c:pt>
                <c:pt idx="676">
                  <c:v>33.116500000000748</c:v>
                </c:pt>
                <c:pt idx="677">
                  <c:v>33.116600000000751</c:v>
                </c:pt>
                <c:pt idx="678">
                  <c:v>33.116700000000755</c:v>
                </c:pt>
                <c:pt idx="679">
                  <c:v>33.116800000000758</c:v>
                </c:pt>
                <c:pt idx="680">
                  <c:v>33.116900000000761</c:v>
                </c:pt>
                <c:pt idx="681">
                  <c:v>33.117000000000765</c:v>
                </c:pt>
                <c:pt idx="682">
                  <c:v>33.117100000000768</c:v>
                </c:pt>
                <c:pt idx="683">
                  <c:v>33.117200000000771</c:v>
                </c:pt>
                <c:pt idx="684">
                  <c:v>33.117300000000775</c:v>
                </c:pt>
                <c:pt idx="685">
                  <c:v>33.117400000000778</c:v>
                </c:pt>
                <c:pt idx="686">
                  <c:v>33.117500000000781</c:v>
                </c:pt>
                <c:pt idx="687">
                  <c:v>33.117600000000785</c:v>
                </c:pt>
                <c:pt idx="688">
                  <c:v>33.117700000000788</c:v>
                </c:pt>
                <c:pt idx="689">
                  <c:v>33.117800000000791</c:v>
                </c:pt>
                <c:pt idx="690">
                  <c:v>33.117900000000795</c:v>
                </c:pt>
                <c:pt idx="691">
                  <c:v>33.118000000000798</c:v>
                </c:pt>
                <c:pt idx="692">
                  <c:v>33.118100000000801</c:v>
                </c:pt>
                <c:pt idx="693">
                  <c:v>33.118200000000805</c:v>
                </c:pt>
                <c:pt idx="694">
                  <c:v>33.118300000000808</c:v>
                </c:pt>
                <c:pt idx="695">
                  <c:v>33.118400000000811</c:v>
                </c:pt>
                <c:pt idx="696">
                  <c:v>33.118500000000815</c:v>
                </c:pt>
                <c:pt idx="697">
                  <c:v>33.118600000000818</c:v>
                </c:pt>
                <c:pt idx="698">
                  <c:v>33.118700000000821</c:v>
                </c:pt>
                <c:pt idx="699">
                  <c:v>33.118800000000824</c:v>
                </c:pt>
                <c:pt idx="700">
                  <c:v>33.118900000000828</c:v>
                </c:pt>
                <c:pt idx="701">
                  <c:v>33.119000000000831</c:v>
                </c:pt>
                <c:pt idx="702">
                  <c:v>33.119100000000834</c:v>
                </c:pt>
                <c:pt idx="703">
                  <c:v>33.119200000000838</c:v>
                </c:pt>
                <c:pt idx="704">
                  <c:v>33.119300000000841</c:v>
                </c:pt>
                <c:pt idx="705">
                  <c:v>33.119400000000844</c:v>
                </c:pt>
                <c:pt idx="706">
                  <c:v>33.119500000000848</c:v>
                </c:pt>
                <c:pt idx="707">
                  <c:v>33.119600000000851</c:v>
                </c:pt>
                <c:pt idx="708">
                  <c:v>33.119700000000854</c:v>
                </c:pt>
                <c:pt idx="709">
                  <c:v>33.119800000000858</c:v>
                </c:pt>
                <c:pt idx="710">
                  <c:v>33.119900000000861</c:v>
                </c:pt>
                <c:pt idx="711">
                  <c:v>33.120000000000864</c:v>
                </c:pt>
                <c:pt idx="712">
                  <c:v>33.120100000000868</c:v>
                </c:pt>
                <c:pt idx="713">
                  <c:v>33.120200000000871</c:v>
                </c:pt>
                <c:pt idx="714">
                  <c:v>33.120300000000874</c:v>
                </c:pt>
                <c:pt idx="715">
                  <c:v>33.120400000000878</c:v>
                </c:pt>
                <c:pt idx="716">
                  <c:v>33.120500000000881</c:v>
                </c:pt>
                <c:pt idx="717">
                  <c:v>33.120600000000884</c:v>
                </c:pt>
                <c:pt idx="718">
                  <c:v>33.120700000000888</c:v>
                </c:pt>
                <c:pt idx="719">
                  <c:v>33.120800000000891</c:v>
                </c:pt>
                <c:pt idx="720">
                  <c:v>33.120900000000894</c:v>
                </c:pt>
                <c:pt idx="721">
                  <c:v>33.121000000000898</c:v>
                </c:pt>
                <c:pt idx="722">
                  <c:v>33.121100000000901</c:v>
                </c:pt>
                <c:pt idx="723">
                  <c:v>33.121200000000904</c:v>
                </c:pt>
                <c:pt idx="724">
                  <c:v>33.121300000000907</c:v>
                </c:pt>
                <c:pt idx="725">
                  <c:v>33.121400000000911</c:v>
                </c:pt>
                <c:pt idx="726">
                  <c:v>33.121500000000914</c:v>
                </c:pt>
                <c:pt idx="727">
                  <c:v>33.121600000000917</c:v>
                </c:pt>
                <c:pt idx="728">
                  <c:v>33.121700000000921</c:v>
                </c:pt>
                <c:pt idx="729">
                  <c:v>33.121800000000924</c:v>
                </c:pt>
                <c:pt idx="730">
                  <c:v>33.121900000000927</c:v>
                </c:pt>
                <c:pt idx="731">
                  <c:v>33.122000000000931</c:v>
                </c:pt>
                <c:pt idx="732">
                  <c:v>33.122100000000934</c:v>
                </c:pt>
                <c:pt idx="733">
                  <c:v>33.122200000000937</c:v>
                </c:pt>
                <c:pt idx="734">
                  <c:v>33.122300000000941</c:v>
                </c:pt>
                <c:pt idx="735">
                  <c:v>33.122400000000944</c:v>
                </c:pt>
                <c:pt idx="736">
                  <c:v>33.122500000000947</c:v>
                </c:pt>
                <c:pt idx="737">
                  <c:v>33.122600000000951</c:v>
                </c:pt>
                <c:pt idx="738">
                  <c:v>33.122700000000954</c:v>
                </c:pt>
                <c:pt idx="739">
                  <c:v>33.122800000000957</c:v>
                </c:pt>
                <c:pt idx="740">
                  <c:v>33.122900000000961</c:v>
                </c:pt>
                <c:pt idx="741">
                  <c:v>33.123000000000964</c:v>
                </c:pt>
                <c:pt idx="742">
                  <c:v>33.123100000000967</c:v>
                </c:pt>
                <c:pt idx="743">
                  <c:v>33.123200000000971</c:v>
                </c:pt>
                <c:pt idx="744">
                  <c:v>33.123300000000974</c:v>
                </c:pt>
                <c:pt idx="745">
                  <c:v>33.123400000000977</c:v>
                </c:pt>
                <c:pt idx="746">
                  <c:v>33.12350000000098</c:v>
                </c:pt>
                <c:pt idx="747">
                  <c:v>33.123600000000984</c:v>
                </c:pt>
                <c:pt idx="748">
                  <c:v>33.123700000000987</c:v>
                </c:pt>
                <c:pt idx="749">
                  <c:v>33.12380000000099</c:v>
                </c:pt>
                <c:pt idx="750">
                  <c:v>33.123900000000994</c:v>
                </c:pt>
                <c:pt idx="751">
                  <c:v>33.124000000000997</c:v>
                </c:pt>
                <c:pt idx="752">
                  <c:v>33.124100000001</c:v>
                </c:pt>
                <c:pt idx="753">
                  <c:v>33.124200000001004</c:v>
                </c:pt>
                <c:pt idx="754">
                  <c:v>33.124300000001007</c:v>
                </c:pt>
                <c:pt idx="755">
                  <c:v>33.12440000000101</c:v>
                </c:pt>
                <c:pt idx="756">
                  <c:v>33.124500000001014</c:v>
                </c:pt>
                <c:pt idx="757">
                  <c:v>33.124600000001017</c:v>
                </c:pt>
                <c:pt idx="758">
                  <c:v>33.12470000000102</c:v>
                </c:pt>
                <c:pt idx="759">
                  <c:v>33.124800000001024</c:v>
                </c:pt>
                <c:pt idx="760">
                  <c:v>33.124900000001027</c:v>
                </c:pt>
                <c:pt idx="761">
                  <c:v>33.12500000000103</c:v>
                </c:pt>
                <c:pt idx="762">
                  <c:v>33.125100000001034</c:v>
                </c:pt>
                <c:pt idx="763">
                  <c:v>33.125200000001037</c:v>
                </c:pt>
                <c:pt idx="764">
                  <c:v>33.12530000000104</c:v>
                </c:pt>
                <c:pt idx="765">
                  <c:v>33.125400000001044</c:v>
                </c:pt>
                <c:pt idx="766">
                  <c:v>33.125500000001047</c:v>
                </c:pt>
                <c:pt idx="767">
                  <c:v>33.12560000000105</c:v>
                </c:pt>
                <c:pt idx="768">
                  <c:v>33.125700000001054</c:v>
                </c:pt>
                <c:pt idx="769">
                  <c:v>33.125800000001057</c:v>
                </c:pt>
                <c:pt idx="770">
                  <c:v>33.12590000000106</c:v>
                </c:pt>
                <c:pt idx="771">
                  <c:v>33.126000000001063</c:v>
                </c:pt>
                <c:pt idx="772">
                  <c:v>33.126100000001067</c:v>
                </c:pt>
                <c:pt idx="773">
                  <c:v>33.12620000000107</c:v>
                </c:pt>
                <c:pt idx="774">
                  <c:v>33.126300000001073</c:v>
                </c:pt>
                <c:pt idx="775">
                  <c:v>33.126400000001077</c:v>
                </c:pt>
                <c:pt idx="776">
                  <c:v>33.12650000000108</c:v>
                </c:pt>
                <c:pt idx="777">
                  <c:v>33.126600000001083</c:v>
                </c:pt>
                <c:pt idx="778">
                  <c:v>33.126700000001087</c:v>
                </c:pt>
                <c:pt idx="779">
                  <c:v>33.12680000000109</c:v>
                </c:pt>
                <c:pt idx="780">
                  <c:v>33.126900000001093</c:v>
                </c:pt>
                <c:pt idx="781">
                  <c:v>33.127000000001097</c:v>
                </c:pt>
                <c:pt idx="782">
                  <c:v>33.1271000000011</c:v>
                </c:pt>
                <c:pt idx="783">
                  <c:v>33.127200000001103</c:v>
                </c:pt>
                <c:pt idx="784">
                  <c:v>33.127300000001107</c:v>
                </c:pt>
                <c:pt idx="785">
                  <c:v>33.12740000000111</c:v>
                </c:pt>
                <c:pt idx="786">
                  <c:v>33.127500000001113</c:v>
                </c:pt>
                <c:pt idx="787">
                  <c:v>33.127600000001117</c:v>
                </c:pt>
                <c:pt idx="788">
                  <c:v>33.12770000000112</c:v>
                </c:pt>
                <c:pt idx="789">
                  <c:v>33.127800000001123</c:v>
                </c:pt>
                <c:pt idx="790">
                  <c:v>33.127900000001127</c:v>
                </c:pt>
                <c:pt idx="791">
                  <c:v>33.12800000000113</c:v>
                </c:pt>
                <c:pt idx="792">
                  <c:v>33.128100000001133</c:v>
                </c:pt>
                <c:pt idx="793">
                  <c:v>33.128200000001137</c:v>
                </c:pt>
                <c:pt idx="794">
                  <c:v>33.12830000000114</c:v>
                </c:pt>
                <c:pt idx="795">
                  <c:v>33.128400000001143</c:v>
                </c:pt>
                <c:pt idx="796">
                  <c:v>33.128500000001146</c:v>
                </c:pt>
                <c:pt idx="797">
                  <c:v>33.12860000000115</c:v>
                </c:pt>
                <c:pt idx="798">
                  <c:v>33.128700000001153</c:v>
                </c:pt>
                <c:pt idx="799">
                  <c:v>33.128800000001156</c:v>
                </c:pt>
                <c:pt idx="800">
                  <c:v>33.12890000000116</c:v>
                </c:pt>
                <c:pt idx="801">
                  <c:v>33.129000000001163</c:v>
                </c:pt>
                <c:pt idx="802">
                  <c:v>33.129100000001166</c:v>
                </c:pt>
                <c:pt idx="803">
                  <c:v>33.12920000000117</c:v>
                </c:pt>
                <c:pt idx="804">
                  <c:v>33.129300000001173</c:v>
                </c:pt>
                <c:pt idx="805">
                  <c:v>33.129400000001176</c:v>
                </c:pt>
                <c:pt idx="806">
                  <c:v>33.12950000000118</c:v>
                </c:pt>
                <c:pt idx="807">
                  <c:v>33.129600000001183</c:v>
                </c:pt>
                <c:pt idx="808">
                  <c:v>33.129700000001186</c:v>
                </c:pt>
                <c:pt idx="809">
                  <c:v>33.12980000000119</c:v>
                </c:pt>
                <c:pt idx="810">
                  <c:v>33.129900000001193</c:v>
                </c:pt>
                <c:pt idx="811">
                  <c:v>33.130000000001196</c:v>
                </c:pt>
                <c:pt idx="812">
                  <c:v>33.1301000000012</c:v>
                </c:pt>
                <c:pt idx="813">
                  <c:v>33.130200000001203</c:v>
                </c:pt>
                <c:pt idx="814">
                  <c:v>33.130300000001206</c:v>
                </c:pt>
                <c:pt idx="815">
                  <c:v>33.13040000000121</c:v>
                </c:pt>
                <c:pt idx="816">
                  <c:v>33.130500000001213</c:v>
                </c:pt>
                <c:pt idx="817">
                  <c:v>33.130600000001216</c:v>
                </c:pt>
                <c:pt idx="818">
                  <c:v>33.13070000000122</c:v>
                </c:pt>
                <c:pt idx="819">
                  <c:v>33.130800000001223</c:v>
                </c:pt>
                <c:pt idx="820">
                  <c:v>33.130900000001226</c:v>
                </c:pt>
                <c:pt idx="821">
                  <c:v>33.131000000001229</c:v>
                </c:pt>
                <c:pt idx="822">
                  <c:v>33.131100000001233</c:v>
                </c:pt>
                <c:pt idx="823">
                  <c:v>33.131200000001236</c:v>
                </c:pt>
                <c:pt idx="824">
                  <c:v>33.131300000001239</c:v>
                </c:pt>
                <c:pt idx="825">
                  <c:v>33.131400000001243</c:v>
                </c:pt>
                <c:pt idx="826">
                  <c:v>33.131500000001246</c:v>
                </c:pt>
                <c:pt idx="827">
                  <c:v>33.131600000001249</c:v>
                </c:pt>
                <c:pt idx="828">
                  <c:v>33.131700000001253</c:v>
                </c:pt>
                <c:pt idx="829">
                  <c:v>33.131800000001256</c:v>
                </c:pt>
                <c:pt idx="830">
                  <c:v>33.131900000001259</c:v>
                </c:pt>
                <c:pt idx="831">
                  <c:v>33.132000000001263</c:v>
                </c:pt>
                <c:pt idx="832">
                  <c:v>33.132100000001266</c:v>
                </c:pt>
                <c:pt idx="833">
                  <c:v>33.132200000001269</c:v>
                </c:pt>
                <c:pt idx="834">
                  <c:v>33.132300000001273</c:v>
                </c:pt>
                <c:pt idx="835">
                  <c:v>33.132400000001276</c:v>
                </c:pt>
                <c:pt idx="836">
                  <c:v>33.132500000001279</c:v>
                </c:pt>
                <c:pt idx="837">
                  <c:v>33.132600000001283</c:v>
                </c:pt>
                <c:pt idx="838">
                  <c:v>33.132700000001286</c:v>
                </c:pt>
                <c:pt idx="839">
                  <c:v>33.132800000001289</c:v>
                </c:pt>
                <c:pt idx="840">
                  <c:v>33.132900000001293</c:v>
                </c:pt>
                <c:pt idx="841">
                  <c:v>33.133000000001296</c:v>
                </c:pt>
                <c:pt idx="842">
                  <c:v>33.133100000001299</c:v>
                </c:pt>
                <c:pt idx="843">
                  <c:v>33.133200000001302</c:v>
                </c:pt>
                <c:pt idx="844">
                  <c:v>33.133300000001306</c:v>
                </c:pt>
                <c:pt idx="845">
                  <c:v>33.133400000001309</c:v>
                </c:pt>
                <c:pt idx="846">
                  <c:v>33.133500000001312</c:v>
                </c:pt>
                <c:pt idx="847">
                  <c:v>33.133600000001316</c:v>
                </c:pt>
                <c:pt idx="848">
                  <c:v>33.133700000001319</c:v>
                </c:pt>
                <c:pt idx="849">
                  <c:v>33.133800000001322</c:v>
                </c:pt>
                <c:pt idx="850">
                  <c:v>33.133900000001326</c:v>
                </c:pt>
                <c:pt idx="851">
                  <c:v>33.134000000001329</c:v>
                </c:pt>
                <c:pt idx="852">
                  <c:v>33.134100000001332</c:v>
                </c:pt>
                <c:pt idx="853">
                  <c:v>33.134200000001336</c:v>
                </c:pt>
                <c:pt idx="854">
                  <c:v>33.134300000001339</c:v>
                </c:pt>
                <c:pt idx="855">
                  <c:v>33.134400000001342</c:v>
                </c:pt>
                <c:pt idx="856">
                  <c:v>33.134500000001346</c:v>
                </c:pt>
                <c:pt idx="857">
                  <c:v>33.134600000001349</c:v>
                </c:pt>
                <c:pt idx="858">
                  <c:v>33.134700000001352</c:v>
                </c:pt>
                <c:pt idx="859">
                  <c:v>33.134800000001356</c:v>
                </c:pt>
                <c:pt idx="860">
                  <c:v>33.134900000001359</c:v>
                </c:pt>
                <c:pt idx="861">
                  <c:v>33.135000000001362</c:v>
                </c:pt>
                <c:pt idx="862">
                  <c:v>33.135100000001366</c:v>
                </c:pt>
                <c:pt idx="863">
                  <c:v>33.135200000001369</c:v>
                </c:pt>
                <c:pt idx="864">
                  <c:v>33.135300000001372</c:v>
                </c:pt>
                <c:pt idx="865">
                  <c:v>33.135400000001376</c:v>
                </c:pt>
                <c:pt idx="866">
                  <c:v>33.135500000001379</c:v>
                </c:pt>
                <c:pt idx="867">
                  <c:v>33.135600000001382</c:v>
                </c:pt>
                <c:pt idx="868">
                  <c:v>33.135700000001385</c:v>
                </c:pt>
                <c:pt idx="869">
                  <c:v>33.135800000001389</c:v>
                </c:pt>
                <c:pt idx="870">
                  <c:v>33.135900000001392</c:v>
                </c:pt>
                <c:pt idx="871">
                  <c:v>33.136000000001395</c:v>
                </c:pt>
                <c:pt idx="872">
                  <c:v>33.136100000001399</c:v>
                </c:pt>
                <c:pt idx="873">
                  <c:v>33.136200000001402</c:v>
                </c:pt>
                <c:pt idx="874">
                  <c:v>33.136300000001405</c:v>
                </c:pt>
                <c:pt idx="875">
                  <c:v>33.136400000001409</c:v>
                </c:pt>
                <c:pt idx="876">
                  <c:v>33.136500000001412</c:v>
                </c:pt>
                <c:pt idx="877">
                  <c:v>33.136600000001415</c:v>
                </c:pt>
                <c:pt idx="878">
                  <c:v>33.136700000001419</c:v>
                </c:pt>
                <c:pt idx="879">
                  <c:v>33.136800000001422</c:v>
                </c:pt>
                <c:pt idx="880">
                  <c:v>33.136900000001425</c:v>
                </c:pt>
                <c:pt idx="881">
                  <c:v>33.137000000001429</c:v>
                </c:pt>
                <c:pt idx="882">
                  <c:v>33.137100000001432</c:v>
                </c:pt>
                <c:pt idx="883">
                  <c:v>33.137200000001435</c:v>
                </c:pt>
                <c:pt idx="884">
                  <c:v>33.137300000001439</c:v>
                </c:pt>
                <c:pt idx="885">
                  <c:v>33.137400000001442</c:v>
                </c:pt>
                <c:pt idx="886">
                  <c:v>33.137500000001445</c:v>
                </c:pt>
                <c:pt idx="887">
                  <c:v>33.137600000001449</c:v>
                </c:pt>
                <c:pt idx="888">
                  <c:v>33.137700000001452</c:v>
                </c:pt>
                <c:pt idx="889">
                  <c:v>33.137800000001455</c:v>
                </c:pt>
                <c:pt idx="890">
                  <c:v>33.137900000001459</c:v>
                </c:pt>
                <c:pt idx="891">
                  <c:v>33.138000000001462</c:v>
                </c:pt>
                <c:pt idx="892">
                  <c:v>33.138100000001465</c:v>
                </c:pt>
                <c:pt idx="893">
                  <c:v>33.138200000001468</c:v>
                </c:pt>
                <c:pt idx="894">
                  <c:v>33.138300000001472</c:v>
                </c:pt>
                <c:pt idx="895">
                  <c:v>33.138400000001475</c:v>
                </c:pt>
                <c:pt idx="896">
                  <c:v>33.138500000001478</c:v>
                </c:pt>
                <c:pt idx="897">
                  <c:v>33.138600000001482</c:v>
                </c:pt>
                <c:pt idx="898">
                  <c:v>33.138700000001485</c:v>
                </c:pt>
                <c:pt idx="899">
                  <c:v>33.138800000001488</c:v>
                </c:pt>
                <c:pt idx="900">
                  <c:v>33.138900000001492</c:v>
                </c:pt>
                <c:pt idx="901">
                  <c:v>33.139000000001495</c:v>
                </c:pt>
                <c:pt idx="902">
                  <c:v>33.139100000001498</c:v>
                </c:pt>
                <c:pt idx="903">
                  <c:v>33.139200000001502</c:v>
                </c:pt>
                <c:pt idx="904">
                  <c:v>33.139300000001505</c:v>
                </c:pt>
                <c:pt idx="905">
                  <c:v>33.139400000001508</c:v>
                </c:pt>
                <c:pt idx="906">
                  <c:v>33.139500000001512</c:v>
                </c:pt>
                <c:pt idx="907">
                  <c:v>33.139600000001515</c:v>
                </c:pt>
                <c:pt idx="908">
                  <c:v>33.139700000001518</c:v>
                </c:pt>
                <c:pt idx="909">
                  <c:v>33.139800000001522</c:v>
                </c:pt>
                <c:pt idx="910">
                  <c:v>33.139900000001525</c:v>
                </c:pt>
                <c:pt idx="911">
                  <c:v>33.140000000001528</c:v>
                </c:pt>
                <c:pt idx="912">
                  <c:v>33.140100000001532</c:v>
                </c:pt>
                <c:pt idx="913">
                  <c:v>33.140200000001535</c:v>
                </c:pt>
                <c:pt idx="914">
                  <c:v>33.140300000001538</c:v>
                </c:pt>
                <c:pt idx="915">
                  <c:v>33.140400000001542</c:v>
                </c:pt>
                <c:pt idx="916">
                  <c:v>33.140500000001545</c:v>
                </c:pt>
                <c:pt idx="917">
                  <c:v>33.140600000001548</c:v>
                </c:pt>
                <c:pt idx="918">
                  <c:v>33.140700000001551</c:v>
                </c:pt>
                <c:pt idx="919">
                  <c:v>33.140800000001555</c:v>
                </c:pt>
                <c:pt idx="920">
                  <c:v>33.140900000001558</c:v>
                </c:pt>
                <c:pt idx="921">
                  <c:v>33.141000000001561</c:v>
                </c:pt>
                <c:pt idx="922">
                  <c:v>33.141100000001565</c:v>
                </c:pt>
                <c:pt idx="923">
                  <c:v>33.141200000001568</c:v>
                </c:pt>
                <c:pt idx="924">
                  <c:v>33.141300000001571</c:v>
                </c:pt>
                <c:pt idx="925">
                  <c:v>33.141400000001575</c:v>
                </c:pt>
                <c:pt idx="926">
                  <c:v>33.141500000001578</c:v>
                </c:pt>
                <c:pt idx="927">
                  <c:v>33.141600000001581</c:v>
                </c:pt>
                <c:pt idx="928">
                  <c:v>33.141700000001585</c:v>
                </c:pt>
                <c:pt idx="929">
                  <c:v>33.141800000001588</c:v>
                </c:pt>
                <c:pt idx="930">
                  <c:v>33.141900000001591</c:v>
                </c:pt>
                <c:pt idx="931">
                  <c:v>33.142000000001595</c:v>
                </c:pt>
                <c:pt idx="932">
                  <c:v>33.142100000001598</c:v>
                </c:pt>
                <c:pt idx="933">
                  <c:v>33.142200000001601</c:v>
                </c:pt>
                <c:pt idx="934">
                  <c:v>33.142300000001605</c:v>
                </c:pt>
                <c:pt idx="935">
                  <c:v>33.142400000001608</c:v>
                </c:pt>
                <c:pt idx="936">
                  <c:v>33.142500000001611</c:v>
                </c:pt>
                <c:pt idx="937">
                  <c:v>33.142600000001615</c:v>
                </c:pt>
                <c:pt idx="938">
                  <c:v>33.142700000001618</c:v>
                </c:pt>
                <c:pt idx="939">
                  <c:v>33.142800000001621</c:v>
                </c:pt>
                <c:pt idx="940">
                  <c:v>33.142900000001625</c:v>
                </c:pt>
                <c:pt idx="941">
                  <c:v>33.143000000001628</c:v>
                </c:pt>
                <c:pt idx="942">
                  <c:v>33.143100000001631</c:v>
                </c:pt>
                <c:pt idx="943">
                  <c:v>33.143200000001634</c:v>
                </c:pt>
                <c:pt idx="944">
                  <c:v>33.143300000001638</c:v>
                </c:pt>
                <c:pt idx="945">
                  <c:v>33.143400000001641</c:v>
                </c:pt>
                <c:pt idx="946">
                  <c:v>33.143500000001644</c:v>
                </c:pt>
                <c:pt idx="947">
                  <c:v>33.143600000001648</c:v>
                </c:pt>
                <c:pt idx="948">
                  <c:v>33.143700000001651</c:v>
                </c:pt>
                <c:pt idx="949">
                  <c:v>33.143800000001654</c:v>
                </c:pt>
                <c:pt idx="950">
                  <c:v>33.143900000001658</c:v>
                </c:pt>
                <c:pt idx="951">
                  <c:v>33.144000000001661</c:v>
                </c:pt>
                <c:pt idx="952">
                  <c:v>33.144100000001664</c:v>
                </c:pt>
                <c:pt idx="953">
                  <c:v>33.144200000001668</c:v>
                </c:pt>
                <c:pt idx="954">
                  <c:v>33.144300000001671</c:v>
                </c:pt>
                <c:pt idx="955">
                  <c:v>33.144400000001674</c:v>
                </c:pt>
                <c:pt idx="956">
                  <c:v>33.144500000001678</c:v>
                </c:pt>
                <c:pt idx="957">
                  <c:v>33.144600000001681</c:v>
                </c:pt>
                <c:pt idx="958">
                  <c:v>33.144700000001684</c:v>
                </c:pt>
                <c:pt idx="959">
                  <c:v>33.144800000001688</c:v>
                </c:pt>
                <c:pt idx="960">
                  <c:v>33.144900000001691</c:v>
                </c:pt>
                <c:pt idx="961">
                  <c:v>33.145000000001694</c:v>
                </c:pt>
                <c:pt idx="962">
                  <c:v>33.145100000001698</c:v>
                </c:pt>
                <c:pt idx="963">
                  <c:v>33.145200000001701</c:v>
                </c:pt>
                <c:pt idx="964">
                  <c:v>33.145300000001704</c:v>
                </c:pt>
                <c:pt idx="965">
                  <c:v>33.145400000001707</c:v>
                </c:pt>
                <c:pt idx="966">
                  <c:v>33.145500000001711</c:v>
                </c:pt>
                <c:pt idx="967">
                  <c:v>33.145600000001714</c:v>
                </c:pt>
                <c:pt idx="968">
                  <c:v>33.145700000001717</c:v>
                </c:pt>
                <c:pt idx="969">
                  <c:v>33.145800000001721</c:v>
                </c:pt>
                <c:pt idx="970">
                  <c:v>33.145900000001724</c:v>
                </c:pt>
                <c:pt idx="971">
                  <c:v>33.146000000001727</c:v>
                </c:pt>
                <c:pt idx="972">
                  <c:v>33.146100000001731</c:v>
                </c:pt>
                <c:pt idx="973">
                  <c:v>33.146200000001734</c:v>
                </c:pt>
                <c:pt idx="974">
                  <c:v>33.146300000001737</c:v>
                </c:pt>
                <c:pt idx="975">
                  <c:v>33.146400000001741</c:v>
                </c:pt>
                <c:pt idx="976">
                  <c:v>33.146500000001744</c:v>
                </c:pt>
                <c:pt idx="977">
                  <c:v>33.146600000001747</c:v>
                </c:pt>
                <c:pt idx="978">
                  <c:v>33.146700000001751</c:v>
                </c:pt>
                <c:pt idx="979">
                  <c:v>33.146800000001754</c:v>
                </c:pt>
                <c:pt idx="980">
                  <c:v>33.146900000001757</c:v>
                </c:pt>
                <c:pt idx="981">
                  <c:v>33.147000000001761</c:v>
                </c:pt>
                <c:pt idx="982">
                  <c:v>33.147100000001764</c:v>
                </c:pt>
                <c:pt idx="983">
                  <c:v>33.147200000001767</c:v>
                </c:pt>
                <c:pt idx="984">
                  <c:v>33.147300000001771</c:v>
                </c:pt>
                <c:pt idx="985">
                  <c:v>33.147400000001774</c:v>
                </c:pt>
                <c:pt idx="986">
                  <c:v>33.147500000001777</c:v>
                </c:pt>
                <c:pt idx="987">
                  <c:v>33.147600000001781</c:v>
                </c:pt>
                <c:pt idx="988">
                  <c:v>33.147700000001784</c:v>
                </c:pt>
                <c:pt idx="989">
                  <c:v>33.147800000001787</c:v>
                </c:pt>
                <c:pt idx="990">
                  <c:v>33.14790000000179</c:v>
                </c:pt>
                <c:pt idx="991">
                  <c:v>33.148000000001794</c:v>
                </c:pt>
                <c:pt idx="992">
                  <c:v>33.148100000001797</c:v>
                </c:pt>
                <c:pt idx="993">
                  <c:v>33.1482000000018</c:v>
                </c:pt>
                <c:pt idx="994">
                  <c:v>33.148300000001804</c:v>
                </c:pt>
                <c:pt idx="995">
                  <c:v>33.148400000001807</c:v>
                </c:pt>
                <c:pt idx="996">
                  <c:v>33.14850000000181</c:v>
                </c:pt>
                <c:pt idx="997">
                  <c:v>33.148600000001814</c:v>
                </c:pt>
                <c:pt idx="998">
                  <c:v>33.148700000001817</c:v>
                </c:pt>
                <c:pt idx="999">
                  <c:v>33.14880000000182</c:v>
                </c:pt>
                <c:pt idx="1000">
                  <c:v>33.148900000001824</c:v>
                </c:pt>
              </c:numCache>
            </c:numRef>
          </c:xVal>
          <c:yVal>
            <c:numRef>
              <c:f>Calculs!$W$4:$W$1004</c:f>
              <c:numCache>
                <c:formatCode>0.00</c:formatCode>
                <c:ptCount val="1001"/>
                <c:pt idx="0">
                  <c:v>0</c:v>
                </c:pt>
                <c:pt idx="1">
                  <c:v>9.9174294596173312E-5</c:v>
                </c:pt>
                <c:pt idx="2">
                  <c:v>4.1230864916218992E-3</c:v>
                </c:pt>
                <c:pt idx="3">
                  <c:v>2.1156665375907029E-2</c:v>
                </c:pt>
                <c:pt idx="4">
                  <c:v>5.0118521811996782E-2</c:v>
                </c:pt>
                <c:pt idx="5">
                  <c:v>8.9676138418443158E-2</c:v>
                </c:pt>
                <c:pt idx="6">
                  <c:v>0.13982851940057084</c:v>
                </c:pt>
                <c:pt idx="7">
                  <c:v>0.20162380455019863</c:v>
                </c:pt>
                <c:pt idx="8">
                  <c:v>0.27533804049823568</c:v>
                </c:pt>
                <c:pt idx="9">
                  <c:v>0.36124966622644927</c:v>
                </c:pt>
                <c:pt idx="10">
                  <c:v>0.45963950633312611</c:v>
                </c:pt>
                <c:pt idx="11">
                  <c:v>0.57052027174128772</c:v>
                </c:pt>
                <c:pt idx="12">
                  <c:v>0.69379473000101399</c:v>
                </c:pt>
                <c:pt idx="13">
                  <c:v>0.8295806483860928</c:v>
                </c:pt>
                <c:pt idx="14">
                  <c:v>0.97799586811101857</c:v>
                </c:pt>
                <c:pt idx="15">
                  <c:v>1.139158295078613</c:v>
                </c:pt>
                <c:pt idx="16">
                  <c:v>1.3131858905411511</c:v>
                </c:pt>
                <c:pt idx="17">
                  <c:v>1.50019666167558</c:v>
                </c:pt>
                <c:pt idx="18">
                  <c:v>1.7003086520734598</c:v>
                </c:pt>
                <c:pt idx="19">
                  <c:v>1.9136399321462694</c:v>
                </c:pt>
                <c:pt idx="20">
                  <c:v>2.1403085894467377</c:v>
                </c:pt>
                <c:pt idx="21">
                  <c:v>2.3802110693882796</c:v>
                </c:pt>
                <c:pt idx="22">
                  <c:v>2.6331972471532894</c:v>
                </c:pt>
                <c:pt idx="23">
                  <c:v>2.8993150285637914</c:v>
                </c:pt>
                <c:pt idx="24">
                  <c:v>3.1786118415682303</c:v>
                </c:pt>
                <c:pt idx="25">
                  <c:v>3.4711346306138817</c:v>
                </c:pt>
                <c:pt idx="26">
                  <c:v>3.7769298510421971</c:v>
                </c:pt>
                <c:pt idx="27">
                  <c:v>4.0960434635080532</c:v>
                </c:pt>
                <c:pt idx="28">
                  <c:v>4.4285219976344585</c:v>
                </c:pt>
                <c:pt idx="29">
                  <c:v>4.7744116889834745</c:v>
                </c:pt>
                <c:pt idx="30">
                  <c:v>5.1337571615048017</c:v>
                </c:pt>
                <c:pt idx="31">
                  <c:v>5.5066025176843381</c:v>
                </c:pt>
                <c:pt idx="32">
                  <c:v>5.8929913333965498</c:v>
                </c:pt>
                <c:pt idx="33">
                  <c:v>6.2929666527741164</c:v>
                </c:pt>
                <c:pt idx="34">
                  <c:v>6.7065709830814892</c:v>
                </c:pt>
                <c:pt idx="35">
                  <c:v>7.1338462895965051</c:v>
                </c:pt>
                <c:pt idx="36">
                  <c:v>7.5748339905036755</c:v>
                </c:pt>
                <c:pt idx="37">
                  <c:v>8.0295749518025108</c:v>
                </c:pt>
                <c:pt idx="38">
                  <c:v>8.4981094822337884</c:v>
                </c:pt>
                <c:pt idx="39">
                  <c:v>8.9804773282264847</c:v>
                </c:pt>
                <c:pt idx="40">
                  <c:v>9.4767176688677655</c:v>
                </c:pt>
                <c:pt idx="41">
                  <c:v>9.9865158279972732</c:v>
                </c:pt>
                <c:pt idx="42">
                  <c:v>10.509519160915286</c:v>
                </c:pt>
                <c:pt idx="43">
                  <c:v>11.04570900377338</c:v>
                </c:pt>
                <c:pt idx="44">
                  <c:v>11.595065977117757</c:v>
                </c:pt>
                <c:pt idx="45">
                  <c:v>12.15756998659084</c:v>
                </c:pt>
                <c:pt idx="46">
                  <c:v>12.733200223705744</c:v>
                </c:pt>
                <c:pt idx="47">
                  <c:v>13.321935166694447</c:v>
                </c:pt>
                <c:pt idx="48">
                  <c:v>13.923752581430362</c:v>
                </c:pt>
                <c:pt idx="49">
                  <c:v>14.538629522425911</c:v>
                </c:pt>
                <c:pt idx="50">
                  <c:v>15.166542333905593</c:v>
                </c:pt>
                <c:pt idx="51">
                  <c:v>15.807466650955078</c:v>
                </c:pt>
                <c:pt idx="52">
                  <c:v>16.461377400746674</c:v>
                </c:pt>
                <c:pt idx="53">
                  <c:v>17.128248803841505</c:v>
                </c:pt>
                <c:pt idx="54">
                  <c:v>17.808054375568755</c:v>
                </c:pt>
                <c:pt idx="55">
                  <c:v>18.500766927482122</c:v>
                </c:pt>
                <c:pt idx="56">
                  <c:v>19.206358568893748</c:v>
                </c:pt>
                <c:pt idx="57">
                  <c:v>19.92480070848579</c:v>
                </c:pt>
                <c:pt idx="58">
                  <c:v>20.656064055999643</c:v>
                </c:pt>
                <c:pt idx="59">
                  <c:v>21.400118624003099</c:v>
                </c:pt>
                <c:pt idx="60">
                  <c:v>22.15693372973519</c:v>
                </c:pt>
                <c:pt idx="61">
                  <c:v>22.926477997029089</c:v>
                </c:pt>
                <c:pt idx="62">
                  <c:v>23.708719358312678</c:v>
                </c:pt>
                <c:pt idx="63">
                  <c:v>24.503625056687053</c:v>
                </c:pt>
                <c:pt idx="64">
                  <c:v>25.311161648082692</c:v>
                </c:pt>
                <c:pt idx="65">
                  <c:v>26.131295003493268</c:v>
                </c:pt>
                <c:pt idx="66">
                  <c:v>26.963990311286967</c:v>
                </c:pt>
                <c:pt idx="67">
                  <c:v>27.809212079595149</c:v>
                </c:pt>
                <c:pt idx="68">
                  <c:v>28.666924138778214</c:v>
                </c:pt>
                <c:pt idx="69">
                  <c:v>29.537089643968322</c:v>
                </c:pt>
                <c:pt idx="70">
                  <c:v>30.419671077689067</c:v>
                </c:pt>
                <c:pt idx="71">
                  <c:v>31.314630252551463</c:v>
                </c:pt>
                <c:pt idx="72">
                  <c:v>32.22192831402635</c:v>
                </c:pt>
                <c:pt idx="73">
                  <c:v>33.141525743292611</c:v>
                </c:pt>
                <c:pt idx="74">
                  <c:v>34.073382360161084</c:v>
                </c:pt>
                <c:pt idx="75">
                  <c:v>35.017457326073981</c:v>
                </c:pt>
                <c:pt idx="76">
                  <c:v>35.973709147178958</c:v>
                </c:pt>
                <c:pt idx="77">
                  <c:v>36.942095677478122</c:v>
                </c:pt>
                <c:pt idx="78">
                  <c:v>37.922574122051145</c:v>
                </c:pt>
                <c:pt idx="79">
                  <c:v>38.915101040352219</c:v>
                </c:pt>
                <c:pt idx="80">
                  <c:v>39.919632349580468</c:v>
                </c:pt>
                <c:pt idx="81">
                  <c:v>40.935397188563911</c:v>
                </c:pt>
                <c:pt idx="82">
                  <c:v>41.961586603882942</c:v>
                </c:pt>
                <c:pt idx="83">
                  <c:v>42.998098875541622</c:v>
                </c:pt>
                <c:pt idx="84">
                  <c:v>44.044831820159317</c:v>
                </c:pt>
                <c:pt idx="85">
                  <c:v>45.101682801436304</c:v>
                </c:pt>
                <c:pt idx="86">
                  <c:v>46.168548740656703</c:v>
                </c:pt>
                <c:pt idx="87">
                  <c:v>47.245326127227017</c:v>
                </c:pt>
                <c:pt idx="88">
                  <c:v>48.331911029248012</c:v>
                </c:pt>
                <c:pt idx="89">
                  <c:v>49.428199104118328</c:v>
                </c:pt>
                <c:pt idx="90">
                  <c:v>50.534085609167597</c:v>
                </c:pt>
                <c:pt idx="91">
                  <c:v>51.649105093502286</c:v>
                </c:pt>
                <c:pt idx="92">
                  <c:v>52.77277558217434</c:v>
                </c:pt>
                <c:pt idx="93">
                  <c:v>53.904967271298005</c:v>
                </c:pt>
                <c:pt idx="94">
                  <c:v>55.045550141074528</c:v>
                </c:pt>
                <c:pt idx="95">
                  <c:v>56.194393969591665</c:v>
                </c:pt>
                <c:pt idx="96">
                  <c:v>57.351368346606769</c:v>
                </c:pt>
                <c:pt idx="97">
                  <c:v>58.516342687311059</c:v>
                </c:pt>
                <c:pt idx="98">
                  <c:v>59.689186246072737</c:v>
                </c:pt>
                <c:pt idx="99">
                  <c:v>60.869768130156174</c:v>
                </c:pt>
                <c:pt idx="100">
                  <c:v>62.057957313415081</c:v>
                </c:pt>
                <c:pt idx="101">
                  <c:v>63.253558885406811</c:v>
                </c:pt>
                <c:pt idx="102">
                  <c:v>64.456375332474749</c:v>
                </c:pt>
                <c:pt idx="103">
                  <c:v>65.6662716226692</c:v>
                </c:pt>
                <c:pt idx="104">
                  <c:v>66.883112673227245</c:v>
                </c:pt>
                <c:pt idx="105">
                  <c:v>68.106763364556201</c:v>
                </c:pt>
                <c:pt idx="106">
                  <c:v>69.337088554169085</c:v>
                </c:pt>
                <c:pt idx="107">
                  <c:v>70.57395309057037</c:v>
                </c:pt>
                <c:pt idx="108">
                  <c:v>71.817221827088616</c:v>
                </c:pt>
                <c:pt idx="109">
                  <c:v>73.066759635654421</c:v>
                </c:pt>
                <c:pt idx="110">
                  <c:v>74.322431420521085</c:v>
                </c:pt>
                <c:pt idx="111">
                  <c:v>75.584904421842253</c:v>
                </c:pt>
                <c:pt idx="112">
                  <c:v>76.854873649448635</c:v>
                </c:pt>
                <c:pt idx="113">
                  <c:v>78.132245008618796</c:v>
                </c:pt>
                <c:pt idx="114">
                  <c:v>79.416924190684838</c:v>
                </c:pt>
                <c:pt idx="115">
                  <c:v>80.708816681797217</c:v>
                </c:pt>
                <c:pt idx="116">
                  <c:v>82.007827771688284</c:v>
                </c:pt>
                <c:pt idx="117">
                  <c:v>83.313862562434693</c:v>
                </c:pt>
                <c:pt idx="118">
                  <c:v>84.626825977215347</c:v>
                </c:pt>
                <c:pt idx="119">
                  <c:v>85.946622769065783</c:v>
                </c:pt>
                <c:pt idx="120">
                  <c:v>87.273157529625323</c:v>
                </c:pt>
                <c:pt idx="121">
                  <c:v>88.604894480445509</c:v>
                </c:pt>
                <c:pt idx="122">
                  <c:v>89.940253035026657</c:v>
                </c:pt>
                <c:pt idx="123">
                  <c:v>91.279071821936753</c:v>
                </c:pt>
                <c:pt idx="124">
                  <c:v>92.621189940467744</c:v>
                </c:pt>
                <c:pt idx="125">
                  <c:v>93.966446976497906</c:v>
                </c:pt>
                <c:pt idx="126">
                  <c:v>95.314683018197172</c:v>
                </c:pt>
                <c:pt idx="127">
                  <c:v>96.665738671571901</c:v>
                </c:pt>
                <c:pt idx="128">
                  <c:v>98.019455075848043</c:v>
                </c:pt>
                <c:pt idx="129">
                  <c:v>99.375673918690055</c:v>
                </c:pt>
                <c:pt idx="130">
                  <c:v>100.73423745125299</c:v>
                </c:pt>
                <c:pt idx="131">
                  <c:v>102.09458394685865</c:v>
                </c:pt>
                <c:pt idx="132">
                  <c:v>103.45614122492155</c:v>
                </c:pt>
                <c:pt idx="133">
                  <c:v>104.81873721728347</c:v>
                </c:pt>
                <c:pt idx="134">
                  <c:v>106.18220069402017</c:v>
                </c:pt>
                <c:pt idx="135">
                  <c:v>107.54636127927533</c:v>
                </c:pt>
                <c:pt idx="136">
                  <c:v>108.91104946686183</c:v>
                </c:pt>
                <c:pt idx="137">
                  <c:v>110.27609663562988</c:v>
                </c:pt>
                <c:pt idx="138">
                  <c:v>111.64133506459967</c:v>
                </c:pt>
                <c:pt idx="139">
                  <c:v>113.00659794785746</c:v>
                </c:pt>
                <c:pt idx="140">
                  <c:v>114.37171940921337</c:v>
                </c:pt>
                <c:pt idx="141">
                  <c:v>115.73138705667671</c:v>
                </c:pt>
                <c:pt idx="142">
                  <c:v>117.08016673633611</c:v>
                </c:pt>
                <c:pt idx="143">
                  <c:v>118.4177188305641</c:v>
                </c:pt>
                <c:pt idx="144">
                  <c:v>119.7437090100286</c:v>
                </c:pt>
                <c:pt idx="145">
                  <c:v>121.05780826223142</c:v>
                </c:pt>
                <c:pt idx="146">
                  <c:v>122.35969291853741</c:v>
                </c:pt>
                <c:pt idx="147">
                  <c:v>123.64904467970406</c:v>
                </c:pt>
                <c:pt idx="148">
                  <c:v>124.92555063991989</c:v>
                </c:pt>
                <c:pt idx="149">
                  <c:v>126.18890330936316</c:v>
                </c:pt>
                <c:pt idx="150">
                  <c:v>127.43880063529038</c:v>
                </c:pt>
                <c:pt idx="151">
                  <c:v>128.67494602166678</c:v>
                </c:pt>
                <c:pt idx="152">
                  <c:v>129.89704834735002</c:v>
                </c:pt>
                <c:pt idx="153">
                  <c:v>131.10482198283896</c:v>
                </c:pt>
                <c:pt idx="154">
                  <c:v>132.2979868056016</c:v>
                </c:pt>
                <c:pt idx="155">
                  <c:v>133.47626821399342</c:v>
                </c:pt>
                <c:pt idx="156">
                  <c:v>134.61313006664301</c:v>
                </c:pt>
                <c:pt idx="157">
                  <c:v>135.68161504776057</c:v>
                </c:pt>
                <c:pt idx="158">
                  <c:v>136.68089467916857</c:v>
                </c:pt>
                <c:pt idx="159">
                  <c:v>137.61020731588721</c:v>
                </c:pt>
                <c:pt idx="160">
                  <c:v>138.46885803064598</c:v>
                </c:pt>
                <c:pt idx="161">
                  <c:v>139.22226950616599</c:v>
                </c:pt>
                <c:pt idx="162">
                  <c:v>139.83563782118645</c:v>
                </c:pt>
                <c:pt idx="163">
                  <c:v>140.31143721267455</c:v>
                </c:pt>
                <c:pt idx="164">
                  <c:v>140.6523922279236</c:v>
                </c:pt>
                <c:pt idx="165">
                  <c:v>140.89081262473607</c:v>
                </c:pt>
                <c:pt idx="166">
                  <c:v>141.05922535486877</c:v>
                </c:pt>
                <c:pt idx="167">
                  <c:v>141.1328056817479</c:v>
                </c:pt>
                <c:pt idx="168">
                  <c:v>141.10478043277104</c:v>
                </c:pt>
                <c:pt idx="169">
                  <c:v>140.92416799183749</c:v>
                </c:pt>
                <c:pt idx="170">
                  <c:v>140.576261569971</c:v>
                </c:pt>
                <c:pt idx="171">
                  <c:v>140.17256062546016</c:v>
                </c:pt>
                <c:pt idx="172">
                  <c:v>139.77023491922128</c:v>
                </c:pt>
                <c:pt idx="173">
                  <c:v>139.36927828435716</c:v>
                </c:pt>
                <c:pt idx="174">
                  <c:v>138.96968458896814</c:v>
                </c:pt>
                <c:pt idx="175">
                  <c:v>138.57144773591386</c:v>
                </c:pt>
                <c:pt idx="176">
                  <c:v>138.17456166257588</c:v>
                </c:pt>
                <c:pt idx="177">
                  <c:v>137.77902034062294</c:v>
                </c:pt>
                <c:pt idx="178">
                  <c:v>137.38481777577704</c:v>
                </c:pt>
                <c:pt idx="179">
                  <c:v>136.99194800758309</c:v>
                </c:pt>
                <c:pt idx="180">
                  <c:v>136.60040510917844</c:v>
                </c:pt>
                <c:pt idx="181">
                  <c:v>136.21018318706587</c:v>
                </c:pt>
                <c:pt idx="182">
                  <c:v>135.82127638088718</c:v>
                </c:pt>
                <c:pt idx="183">
                  <c:v>135.43367886319945</c:v>
                </c:pt>
                <c:pt idx="184">
                  <c:v>135.04738483925254</c:v>
                </c:pt>
                <c:pt idx="185">
                  <c:v>134.66238854676857</c:v>
                </c:pt>
                <c:pt idx="186">
                  <c:v>134.27868425572308</c:v>
                </c:pt>
                <c:pt idx="187">
                  <c:v>133.89626626812773</c:v>
                </c:pt>
                <c:pt idx="188">
                  <c:v>133.51512891781516</c:v>
                </c:pt>
                <c:pt idx="189">
                  <c:v>133.13526657022533</c:v>
                </c:pt>
                <c:pt idx="190">
                  <c:v>132.75667362219312</c:v>
                </c:pt>
                <c:pt idx="191">
                  <c:v>132.37934450173825</c:v>
                </c:pt>
                <c:pt idx="192">
                  <c:v>132.00327366785663</c:v>
                </c:pt>
                <c:pt idx="193">
                  <c:v>131.62845561031284</c:v>
                </c:pt>
                <c:pt idx="194">
                  <c:v>131.25488484943531</c:v>
                </c:pt>
                <c:pt idx="195">
                  <c:v>130.88255593591199</c:v>
                </c:pt>
                <c:pt idx="196">
                  <c:v>130.51146345058808</c:v>
                </c:pt>
                <c:pt idx="197">
                  <c:v>130.14160200426568</c:v>
                </c:pt>
                <c:pt idx="198">
                  <c:v>129.77296623750448</c:v>
                </c:pt>
                <c:pt idx="199">
                  <c:v>129.40555082042377</c:v>
                </c:pt>
                <c:pt idx="200">
                  <c:v>129.03935045250728</c:v>
                </c:pt>
                <c:pt idx="201">
                  <c:v>125.41708531098865</c:v>
                </c:pt>
                <c:pt idx="202">
                  <c:v>121.9127345614296</c:v>
                </c:pt>
                <c:pt idx="203">
                  <c:v>118.52130699776662</c:v>
                </c:pt>
                <c:pt idx="204">
                  <c:v>115.23807703661893</c:v>
                </c:pt>
                <c:pt idx="205">
                  <c:v>112.05856786538618</c:v>
                </c:pt>
                <c:pt idx="206">
                  <c:v>108.97853583047166</c:v>
                </c:pt>
                <c:pt idx="207">
                  <c:v>105.993955962096</c:v>
                </c:pt>
                <c:pt idx="208">
                  <c:v>103.10100854181475</c:v>
                </c:pt>
                <c:pt idx="209">
                  <c:v>100.29606662751331</c:v>
                </c:pt>
                <c:pt idx="210">
                  <c:v>97.575684458427673</c:v>
                </c:pt>
                <c:pt idx="211">
                  <c:v>94.936586669738759</c:v>
                </c:pt>
                <c:pt idx="212">
                  <c:v>92.375658252583719</c:v>
                </c:pt>
                <c:pt idx="213">
                  <c:v>89.889935201008754</c:v>
                </c:pt>
                <c:pt idx="214">
                  <c:v>87.476595792509983</c:v>
                </c:pt>
                <c:pt idx="215">
                  <c:v>85.132952453438818</c:v>
                </c:pt>
                <c:pt idx="216">
                  <c:v>82.856444164734171</c:v>
                </c:pt>
                <c:pt idx="217">
                  <c:v>80.644629367233577</c:v>
                </c:pt>
                <c:pt idx="218">
                  <c:v>78.495179329248629</c:v>
                </c:pt>
                <c:pt idx="219">
                  <c:v>76.405871942204683</c:v>
                </c:pt>
                <c:pt idx="220">
                  <c:v>74.374585912973785</c:v>
                </c:pt>
                <c:pt idx="221">
                  <c:v>72.399295324098006</c:v>
                </c:pt>
                <c:pt idx="222">
                  <c:v>70.478064535439159</c:v>
                </c:pt>
                <c:pt idx="223">
                  <c:v>68.609043402919042</c:v>
                </c:pt>
                <c:pt idx="224">
                  <c:v>66.790462791952805</c:v>
                </c:pt>
                <c:pt idx="225">
                  <c:v>65.020630364948346</c:v>
                </c:pt>
                <c:pt idx="226">
                  <c:v>63.297926623858181</c:v>
                </c:pt>
                <c:pt idx="227">
                  <c:v>61.620801190245977</c:v>
                </c:pt>
                <c:pt idx="228">
                  <c:v>59.987769306677976</c:v>
                </c:pt>
                <c:pt idx="229">
                  <c:v>58.397408544485899</c:v>
                </c:pt>
                <c:pt idx="230">
                  <c:v>56.848355704075026</c:v>
                </c:pt>
                <c:pt idx="231">
                  <c:v>55.339303894990984</c:v>
                </c:pt>
                <c:pt idx="232">
                  <c:v>53.868999783906112</c:v>
                </c:pt>
                <c:pt idx="233">
                  <c:v>52.436240999560354</c:v>
                </c:pt>
                <c:pt idx="234">
                  <c:v>51.039873684492726</c:v>
                </c:pt>
                <c:pt idx="235">
                  <c:v>49.678790184135593</c:v>
                </c:pt>
                <c:pt idx="236">
                  <c:v>48.351926864522319</c:v>
                </c:pt>
                <c:pt idx="237">
                  <c:v>47.058262050482959</c:v>
                </c:pt>
                <c:pt idx="238">
                  <c:v>45.796814076776329</c:v>
                </c:pt>
                <c:pt idx="239">
                  <c:v>44.566639445138371</c:v>
                </c:pt>
                <c:pt idx="240">
                  <c:v>43.366831080714135</c:v>
                </c:pt>
                <c:pt idx="241">
                  <c:v>42.196516681792964</c:v>
                </c:pt>
                <c:pt idx="242">
                  <c:v>41.054857157181992</c:v>
                </c:pt>
                <c:pt idx="243">
                  <c:v>39.94104514594045</c:v>
                </c:pt>
                <c:pt idx="244">
                  <c:v>38.854303614550794</c:v>
                </c:pt>
                <c:pt idx="245">
                  <c:v>37.793884526935038</c:v>
                </c:pt>
                <c:pt idx="246">
                  <c:v>36.759067583028333</c:v>
                </c:pt>
                <c:pt idx="247">
                  <c:v>35.749159021905193</c:v>
                </c:pt>
                <c:pt idx="248">
                  <c:v>34.763490485716524</c:v>
                </c:pt>
                <c:pt idx="249">
                  <c:v>33.801417940938158</c:v>
                </c:pt>
                <c:pt idx="250">
                  <c:v>32.86232065365806</c:v>
                </c:pt>
                <c:pt idx="251">
                  <c:v>31.945600215838446</c:v>
                </c:pt>
                <c:pt idx="252">
                  <c:v>31.05067961968501</c:v>
                </c:pt>
                <c:pt idx="253">
                  <c:v>30.177002377435137</c:v>
                </c:pt>
                <c:pt idx="254">
                  <c:v>29.324031684046936</c:v>
                </c:pt>
                <c:pt idx="255">
                  <c:v>28.491249620426835</c:v>
                </c:pt>
                <c:pt idx="256">
                  <c:v>27.678156394979915</c:v>
                </c:pt>
                <c:pt idx="257">
                  <c:v>26.884269621403295</c:v>
                </c:pt>
                <c:pt idx="258">
                  <c:v>26.109123630769453</c:v>
                </c:pt>
                <c:pt idx="259">
                  <c:v>25.352268816064885</c:v>
                </c:pt>
                <c:pt idx="260">
                  <c:v>24.613271007459748</c:v>
                </c:pt>
                <c:pt idx="261">
                  <c:v>23.891710876687181</c:v>
                </c:pt>
                <c:pt idx="262">
                  <c:v>23.187183369007137</c:v>
                </c:pt>
                <c:pt idx="263">
                  <c:v>22.499297161319689</c:v>
                </c:pt>
                <c:pt idx="264">
                  <c:v>21.827674145076401</c:v>
                </c:pt>
                <c:pt idx="265">
                  <c:v>21.171948932717388</c:v>
                </c:pt>
                <c:pt idx="266">
                  <c:v>20.531768386434745</c:v>
                </c:pt>
                <c:pt idx="267">
                  <c:v>19.906791168132106</c:v>
                </c:pt>
                <c:pt idx="268">
                  <c:v>19.296687309514564</c:v>
                </c:pt>
                <c:pt idx="269">
                  <c:v>18.701137801303215</c:v>
                </c:pt>
                <c:pt idx="270">
                  <c:v>18.119834200625462</c:v>
                </c:pt>
                <c:pt idx="271">
                  <c:v>17.5524782556848</c:v>
                </c:pt>
                <c:pt idx="272">
                  <c:v>16.998781546864148</c:v>
                </c:pt>
                <c:pt idx="273">
                  <c:v>16.458465143462391</c:v>
                </c:pt>
                <c:pt idx="274">
                  <c:v>15.931259275308701</c:v>
                </c:pt>
                <c:pt idx="275">
                  <c:v>15.416903018539108</c:v>
                </c:pt>
                <c:pt idx="276">
                  <c:v>14.915143994859077</c:v>
                </c:pt>
                <c:pt idx="277">
                  <c:v>14.425738083651673</c:v>
                </c:pt>
                <c:pt idx="278">
                  <c:v>13.948449146324666</c:v>
                </c:pt>
                <c:pt idx="279">
                  <c:v>13.483048762322237</c:v>
                </c:pt>
                <c:pt idx="280">
                  <c:v>13.029315976256377</c:v>
                </c:pt>
                <c:pt idx="281">
                  <c:v>12.587037055641412</c:v>
                </c:pt>
                <c:pt idx="282">
                  <c:v>12.15600525874132</c:v>
                </c:pt>
                <c:pt idx="283">
                  <c:v>11.736020612064321</c:v>
                </c:pt>
                <c:pt idx="284">
                  <c:v>11.326889697062239</c:v>
                </c:pt>
                <c:pt idx="285">
                  <c:v>10.928425445613968</c:v>
                </c:pt>
                <c:pt idx="286">
                  <c:v>10.540446943892684</c:v>
                </c:pt>
                <c:pt idx="287">
                  <c:v>10.162779244235388</c:v>
                </c:pt>
                <c:pt idx="288">
                  <c:v>9.7952531846511359</c:v>
                </c:pt>
                <c:pt idx="289">
                  <c:v>9.43770521562098</c:v>
                </c:pt>
                <c:pt idx="290">
                  <c:v>9.0899772338577165</c:v>
                </c:pt>
                <c:pt idx="291">
                  <c:v>8.7519164227081507</c:v>
                </c:pt>
                <c:pt idx="292">
                  <c:v>8.4233750988933487</c:v>
                </c:pt>
                <c:pt idx="293">
                  <c:v>8.1042105652948795</c:v>
                </c:pt>
                <c:pt idx="294">
                  <c:v>7.7942849695055321</c:v>
                </c:pt>
                <c:pt idx="295">
                  <c:v>7.4934651678735733</c:v>
                </c:pt>
                <c:pt idx="296">
                  <c:v>7.2016225947779304</c:v>
                </c:pt>
                <c:pt idx="297">
                  <c:v>6.9186331368802128</c:v>
                </c:pt>
                <c:pt idx="298">
                  <c:v>6.6443770121057186</c:v>
                </c:pt>
                <c:pt idx="299">
                  <c:v>6.3787386531118608</c:v>
                </c:pt>
                <c:pt idx="300">
                  <c:v>6.1216065950067362</c:v>
                </c:pt>
                <c:pt idx="301">
                  <c:v>5.8728733670842699</c:v>
                </c:pt>
                <c:pt idx="302">
                  <c:v>5.632435388344665</c:v>
                </c:pt>
                <c:pt idx="303">
                  <c:v>5.4001928665699968</c:v>
                </c:pt>
                <c:pt idx="304">
                  <c:v>5.1760497007246151</c:v>
                </c:pt>
                <c:pt idx="305">
                  <c:v>4.9599133864485179</c:v>
                </c:pt>
                <c:pt idx="306">
                  <c:v>4.7516949244089473</c:v>
                </c:pt>
                <c:pt idx="307">
                  <c:v>4.5513087312710496</c:v>
                </c:pt>
                <c:pt idx="308">
                  <c:v>4.3586725530426156</c:v>
                </c:pt>
                <c:pt idx="309">
                  <c:v>4.1737073805403853</c:v>
                </c:pt>
                <c:pt idx="310">
                  <c:v>3.9963373667164519</c:v>
                </c:pt>
                <c:pt idx="311">
                  <c:v>3.8264897455727027</c:v>
                </c:pt>
                <c:pt idx="312">
                  <c:v>3.6640947523790768</c:v>
                </c:pt>
                <c:pt idx="313">
                  <c:v>3.5090855448980616</c:v>
                </c:pt>
                <c:pt idx="314">
                  <c:v>3.3613981253030714</c:v>
                </c:pt>
                <c:pt idx="315">
                  <c:v>3.2209712624628533</c:v>
                </c:pt>
                <c:pt idx="316">
                  <c:v>3.0877464142480653</c:v>
                </c:pt>
                <c:pt idx="317">
                  <c:v>2.9616676495003831</c:v>
                </c:pt>
                <c:pt idx="318">
                  <c:v>2.8426815692895535</c:v>
                </c:pt>
                <c:pt idx="319">
                  <c:v>2.7307372270710633</c:v>
                </c:pt>
                <c:pt idx="320">
                  <c:v>2.6257860473474364</c:v>
                </c:pt>
                <c:pt idx="321">
                  <c:v>2.5277817424314244</c:v>
                </c:pt>
                <c:pt idx="322">
                  <c:v>2.436680226911208</c:v>
                </c:pt>
                <c:pt idx="323">
                  <c:v>2.3524395294281524</c:v>
                </c:pt>
                <c:pt idx="324">
                  <c:v>2.2750197013988491</c:v>
                </c:pt>
                <c:pt idx="325">
                  <c:v>2.2043827223473249</c:v>
                </c:pt>
                <c:pt idx="326">
                  <c:v>2.1404924015622888</c:v>
                </c:pt>
                <c:pt idx="327">
                  <c:v>2.0833142758598586</c:v>
                </c:pt>
                <c:pt idx="328">
                  <c:v>2.0328155033151916</c:v>
                </c:pt>
                <c:pt idx="329">
                  <c:v>1.9889647529268411</c:v>
                </c:pt>
                <c:pt idx="330">
                  <c:v>1.9517320902941324</c:v>
                </c:pt>
                <c:pt idx="331">
                  <c:v>1.9210888595176165</c:v>
                </c:pt>
                <c:pt idx="332">
                  <c:v>1.8970075616712621</c:v>
                </c:pt>
                <c:pt idx="333">
                  <c:v>1.8794617303365937</c:v>
                </c:pt>
                <c:pt idx="334">
                  <c:v>1.8684258048262317</c:v>
                </c:pt>
                <c:pt idx="335">
                  <c:v>1.8638750018493462</c:v>
                </c:pt>
                <c:pt idx="336">
                  <c:v>1.865785186476415</c:v>
                </c:pt>
                <c:pt idx="337">
                  <c:v>1.8741327433382113</c:v>
                </c:pt>
                <c:pt idx="338">
                  <c:v>1.8888944490385551</c:v>
                </c:pt>
                <c:pt idx="339">
                  <c:v>1.91004734676878</c:v>
                </c:pt>
                <c:pt idx="340">
                  <c:v>1.9375686240834176</c:v>
                </c:pt>
                <c:pt idx="341">
                  <c:v>1.9714354947335853</c:v>
                </c:pt>
                <c:pt idx="342">
                  <c:v>2.0116250853615041</c:v>
                </c:pt>
                <c:pt idx="343">
                  <c:v>2.0581143277432745</c:v>
                </c:pt>
                <c:pt idx="344">
                  <c:v>2.1108798571350764</c:v>
                </c:pt>
                <c:pt idx="345">
                  <c:v>2.1698979171386386</c:v>
                </c:pt>
                <c:pt idx="346">
                  <c:v>2.2351442713625937</c:v>
                </c:pt>
                <c:pt idx="347">
                  <c:v>2.3065941220240052</c:v>
                </c:pt>
                <c:pt idx="348">
                  <c:v>2.3842220355138153</c:v>
                </c:pt>
                <c:pt idx="349">
                  <c:v>2.4680018748449535</c:v>
                </c:pt>
                <c:pt idx="350">
                  <c:v>2.5579067388141885</c:v>
                </c:pt>
                <c:pt idx="351">
                  <c:v>2.6539089076390296</c:v>
                </c:pt>
                <c:pt idx="352">
                  <c:v>2.7559797947785873</c:v>
                </c:pt>
                <c:pt idx="353">
                  <c:v>2.8640899046108479</c:v>
                </c:pt>
                <c:pt idx="354">
                  <c:v>2.9782087956163537</c:v>
                </c:pt>
                <c:pt idx="355">
                  <c:v>3.0983050487077768</c:v>
                </c:pt>
                <c:pt idx="356">
                  <c:v>3.2243462403439658</c:v>
                </c:pt>
                <c:pt idx="357">
                  <c:v>3.3562989200737205</c:v>
                </c:pt>
                <c:pt idx="358">
                  <c:v>3.4941285921669136</c:v>
                </c:pt>
                <c:pt idx="359">
                  <c:v>3.6377997010068421</c:v>
                </c:pt>
                <c:pt idx="360">
                  <c:v>3.787275619936656</c:v>
                </c:pt>
                <c:pt idx="361">
                  <c:v>3.9425186432729937</c:v>
                </c:pt>
                <c:pt idx="362">
                  <c:v>4.1034899812210108</c:v>
                </c:pt>
                <c:pt idx="363">
                  <c:v>4.2701497574457177</c:v>
                </c:pt>
                <c:pt idx="364">
                  <c:v>4.442457009074869</c:v>
                </c:pt>
                <c:pt idx="365">
                  <c:v>4.6203696889279886</c:v>
                </c:pt>
                <c:pt idx="366">
                  <c:v>4.8038446697841994</c:v>
                </c:pt>
                <c:pt idx="367">
                  <c:v>4.9928377505185635</c:v>
                </c:pt>
                <c:pt idx="368">
                  <c:v>5.1873036639521146</c:v>
                </c:pt>
                <c:pt idx="369">
                  <c:v>5.3871960862750603</c:v>
                </c:pt>
                <c:pt idx="370">
                  <c:v>5.5924676479155302</c:v>
                </c:pt>
                <c:pt idx="371">
                  <c:v>5.8030699457380157</c:v>
                </c:pt>
                <c:pt idx="372">
                  <c:v>6.018953556466105</c:v>
                </c:pt>
                <c:pt idx="373">
                  <c:v>6.2400680512336351</c:v>
                </c:pt>
                <c:pt idx="374">
                  <c:v>6.4663620111768427</c:v>
                </c:pt>
                <c:pt idx="375">
                  <c:v>6.6977830439875676</c:v>
                </c:pt>
                <c:pt idx="376">
                  <c:v>6.9342778013544404</c:v>
                </c:pt>
                <c:pt idx="377">
                  <c:v>7.175791997224894</c:v>
                </c:pt>
                <c:pt idx="378">
                  <c:v>7.4222704268261408</c:v>
                </c:pt>
                <c:pt idx="379">
                  <c:v>7.6736569863881297</c:v>
                </c:pt>
                <c:pt idx="380">
                  <c:v>7.9298946935155827</c:v>
                </c:pt>
                <c:pt idx="381">
                  <c:v>8.1909257081600551</c:v>
                </c:pt>
                <c:pt idx="382">
                  <c:v>8.4566913541462672</c:v>
                </c:pt>
                <c:pt idx="383">
                  <c:v>8.7271321412098679</c:v>
                </c:pt>
                <c:pt idx="384">
                  <c:v>9.0021877875065819</c:v>
                </c:pt>
                <c:pt idx="385">
                  <c:v>9.2817972425548891</c:v>
                </c:pt>
                <c:pt idx="386">
                  <c:v>9.5658987105765636</c:v>
                </c:pt>
                <c:pt idx="387">
                  <c:v>9.8544296742014215</c:v>
                </c:pt>
                <c:pt idx="388">
                  <c:v>10.147326918503969</c:v>
                </c:pt>
                <c:pt idx="389">
                  <c:v>10.444526555341605</c:v>
                </c:pt>
                <c:pt idx="390">
                  <c:v>10.745964047965057</c:v>
                </c:pt>
                <c:pt idx="391">
                  <c:v>11.051574235873156</c:v>
                </c:pt>
                <c:pt idx="392">
                  <c:v>11.361291359885172</c:v>
                </c:pt>
                <c:pt idx="393">
                  <c:v>11.675049087404817</c:v>
                </c:pt>
                <c:pt idx="394">
                  <c:v>11.992780537851178</c:v>
                </c:pt>
                <c:pt idx="395">
                  <c:v>12.314418308232582</c:v>
                </c:pt>
                <c:pt idx="396">
                  <c:v>12.639894498840148</c:v>
                </c:pt>
                <c:pt idx="397">
                  <c:v>12.969140739038691</c:v>
                </c:pt>
                <c:pt idx="398">
                  <c:v>13.302088213133135</c:v>
                </c:pt>
                <c:pt idx="399">
                  <c:v>13.638667686289432</c:v>
                </c:pt>
                <c:pt idx="400">
                  <c:v>13.978809530489389</c:v>
                </c:pt>
                <c:pt idx="401">
                  <c:v>14.322443750499637</c:v>
                </c:pt>
                <c:pt idx="402">
                  <c:v>14.669500009835218</c:v>
                </c:pt>
                <c:pt idx="403">
                  <c:v>15.019907656699161</c:v>
                </c:pt>
                <c:pt idx="404">
                  <c:v>15.373595749879501</c:v>
                </c:pt>
                <c:pt idx="405">
                  <c:v>15.730493084586088</c:v>
                </c:pt>
                <c:pt idx="406">
                  <c:v>16.090528218209734</c:v>
                </c:pt>
                <c:pt idx="407">
                  <c:v>16.453629495986814</c:v>
                </c:pt>
                <c:pt idx="408">
                  <c:v>16.819725076552906</c:v>
                </c:pt>
                <c:pt idx="409">
                  <c:v>17.188742957369442</c:v>
                </c:pt>
                <c:pt idx="410">
                  <c:v>17.560611000007739</c:v>
                </c:pt>
                <c:pt idx="411">
                  <c:v>17.93525695527547</c:v>
                </c:pt>
                <c:pt idx="412">
                  <c:v>18.312608488170589</c:v>
                </c:pt>
                <c:pt idx="413">
                  <c:v>18.692593202648609</c:v>
                </c:pt>
                <c:pt idx="414">
                  <c:v>19.07513866618936</c:v>
                </c:pt>
                <c:pt idx="415">
                  <c:v>19.460172434149637</c:v>
                </c:pt>
                <c:pt idx="416">
                  <c:v>19.847622073888754</c:v>
                </c:pt>
                <c:pt idx="417">
                  <c:v>20.237415188654477</c:v>
                </c:pt>
                <c:pt idx="418">
                  <c:v>20.62947944121693</c:v>
                </c:pt>
                <c:pt idx="419">
                  <c:v>21.023742577238764</c:v>
                </c:pt>
                <c:pt idx="420">
                  <c:v>21.420132448370147</c:v>
                </c:pt>
                <c:pt idx="421">
                  <c:v>21.818577035057626</c:v>
                </c:pt>
                <c:pt idx="422">
                  <c:v>22.219004469056184</c:v>
                </c:pt>
                <c:pt idx="423">
                  <c:v>22.621343055634377</c:v>
                </c:pt>
                <c:pt idx="424">
                  <c:v>23.025521295462703</c:v>
                </c:pt>
                <c:pt idx="425">
                  <c:v>23.431467906175918</c:v>
                </c:pt>
                <c:pt idx="426">
                  <c:v>23.839111843600186</c:v>
                </c:pt>
                <c:pt idx="427">
                  <c:v>24.248382322636726</c:v>
                </c:pt>
                <c:pt idx="428">
                  <c:v>24.659208837793464</c:v>
                </c:pt>
                <c:pt idx="429">
                  <c:v>25.071521183357262</c:v>
                </c:pt>
                <c:pt idx="430">
                  <c:v>25.485249473199008</c:v>
                </c:pt>
                <c:pt idx="431">
                  <c:v>25.90032416020502</c:v>
                </c:pt>
                <c:pt idx="432">
                  <c:v>26.316676055327729</c:v>
                </c:pt>
                <c:pt idx="433">
                  <c:v>26.734236346249812</c:v>
                </c:pt>
                <c:pt idx="434">
                  <c:v>27.152936615655822</c:v>
                </c:pt>
                <c:pt idx="435">
                  <c:v>27.572708859105962</c:v>
                </c:pt>
                <c:pt idx="436">
                  <c:v>27.993485502506843</c:v>
                </c:pt>
                <c:pt idx="437">
                  <c:v>28.415199419175028</c:v>
                </c:pt>
                <c:pt idx="438">
                  <c:v>28.83778394648839</c:v>
                </c:pt>
                <c:pt idx="439">
                  <c:v>29.261172902122173</c:v>
                </c:pt>
                <c:pt idx="440">
                  <c:v>29.685300599865638</c:v>
                </c:pt>
                <c:pt idx="441">
                  <c:v>30.110101865016603</c:v>
                </c:pt>
                <c:pt idx="442">
                  <c:v>30.535512049350697</c:v>
                </c:pt>
                <c:pt idx="443">
                  <c:v>30.961467045663341</c:v>
                </c:pt>
                <c:pt idx="444">
                  <c:v>31.387903301881991</c:v>
                </c:pt>
                <c:pt idx="445">
                  <c:v>31.81475783474712</c:v>
                </c:pt>
                <c:pt idx="446">
                  <c:v>32.241968243060732</c:v>
                </c:pt>
                <c:pt idx="447">
                  <c:v>32.669472720500927</c:v>
                </c:pt>
                <c:pt idx="448">
                  <c:v>33.097210068002269</c:v>
                </c:pt>
                <c:pt idx="449">
                  <c:v>33.525119705701371</c:v>
                </c:pt>
                <c:pt idx="450">
                  <c:v>33.953141684447502</c:v>
                </c:pt>
                <c:pt idx="451">
                  <c:v>34.381216696878916</c:v>
                </c:pt>
                <c:pt idx="452">
                  <c:v>34.809286088065022</c:v>
                </c:pt>
                <c:pt idx="453">
                  <c:v>35.23729186571537</c:v>
                </c:pt>
                <c:pt idx="454">
                  <c:v>35.665176709956832</c:v>
                </c:pt>
                <c:pt idx="455">
                  <c:v>36.092883982680171</c:v>
                </c:pt>
                <c:pt idx="456">
                  <c:v>36.520357736457953</c:v>
                </c:pt>
                <c:pt idx="457">
                  <c:v>36.947542723035504</c:v>
                </c:pt>
                <c:pt idx="458">
                  <c:v>37.374384401397521</c:v>
                </c:pt>
                <c:pt idx="459">
                  <c:v>37.80082894541259</c:v>
                </c:pt>
                <c:pt idx="460">
                  <c:v>38.226823251058562</c:v>
                </c:pt>
                <c:pt idx="461">
                  <c:v>38.652314943231815</c:v>
                </c:pt>
                <c:pt idx="462">
                  <c:v>39.077252382143442</c:v>
                </c:pt>
                <c:pt idx="463">
                  <c:v>39.501584669306126</c:v>
                </c:pt>
                <c:pt idx="464">
                  <c:v>39.925261653115186</c:v>
                </c:pt>
                <c:pt idx="465">
                  <c:v>40.348233934027995</c:v>
                </c:pt>
                <c:pt idx="466">
                  <c:v>40.770452869345505</c:v>
                </c:pt>
                <c:pt idx="467">
                  <c:v>41.19187057760044</c:v>
                </c:pt>
                <c:pt idx="468">
                  <c:v>41.612439942556847</c:v>
                </c:pt>
                <c:pt idx="469">
                  <c:v>42.032114616825183</c:v>
                </c:pt>
                <c:pt idx="470">
                  <c:v>42.450849025098329</c:v>
                </c:pt>
                <c:pt idx="471">
                  <c:v>42.868598367013121</c:v>
                </c:pt>
                <c:pt idx="472">
                  <c:v>43.285318619643114</c:v>
                </c:pt>
                <c:pt idx="473">
                  <c:v>43.700966539627188</c:v>
                </c:pt>
                <c:pt idx="474">
                  <c:v>44.115499664940252</c:v>
                </c:pt>
                <c:pt idx="475">
                  <c:v>44.528876316311035</c:v>
                </c:pt>
                <c:pt idx="476">
                  <c:v>44.941055598293126</c:v>
                </c:pt>
                <c:pt idx="477">
                  <c:v>45.351997399994836</c:v>
                </c:pt>
                <c:pt idx="478">
                  <c:v>45.761662395473969</c:v>
                </c:pt>
                <c:pt idx="479">
                  <c:v>46.170012043803823</c:v>
                </c:pt>
                <c:pt idx="480">
                  <c:v>46.577008588815794</c:v>
                </c:pt>
                <c:pt idx="481">
                  <c:v>46.982615058526008</c:v>
                </c:pt>
                <c:pt idx="482">
                  <c:v>47.38679526425139</c:v>
                </c:pt>
                <c:pt idx="483">
                  <c:v>47.789513799421691</c:v>
                </c:pt>
                <c:pt idx="484">
                  <c:v>48.190736038094663</c:v>
                </c:pt>
                <c:pt idx="485">
                  <c:v>48.590428133180097</c:v>
                </c:pt>
                <c:pt idx="486">
                  <c:v>48.988557014379474</c:v>
                </c:pt>
                <c:pt idx="487">
                  <c:v>49.385090385848606</c:v>
                </c:pt>
                <c:pt idx="488">
                  <c:v>49.779996723588788</c:v>
                </c:pt>
                <c:pt idx="489">
                  <c:v>50.173245272574185</c:v>
                </c:pt>
                <c:pt idx="490">
                  <c:v>50.564806043621687</c:v>
                </c:pt>
                <c:pt idx="491">
                  <c:v>50.954649810009926</c:v>
                </c:pt>
                <c:pt idx="492">
                  <c:v>51.342748103854852</c:v>
                </c:pt>
                <c:pt idx="493">
                  <c:v>51.729073212247734</c:v>
                </c:pt>
                <c:pt idx="494">
                  <c:v>52.113598173163325</c:v>
                </c:pt>
                <c:pt idx="495">
                  <c:v>52.496296771144301</c:v>
                </c:pt>
                <c:pt idx="496">
                  <c:v>52.877143532769139</c:v>
                </c:pt>
                <c:pt idx="497">
                  <c:v>53.256113721910005</c:v>
                </c:pt>
                <c:pt idx="498">
                  <c:v>53.633183334787532</c:v>
                </c:pt>
                <c:pt idx="499">
                  <c:v>54.008329094829378</c:v>
                </c:pt>
                <c:pt idx="500">
                  <c:v>54.381528447338759</c:v>
                </c:pt>
                <c:pt idx="501">
                  <c:v>54.752759553980219</c:v>
                </c:pt>
                <c:pt idx="502">
                  <c:v>55.12200128708907</c:v>
                </c:pt>
                <c:pt idx="503">
                  <c:v>55.489233223810878</c:v>
                </c:pt>
                <c:pt idx="504">
                  <c:v>55.854435640078002</c:v>
                </c:pt>
                <c:pt idx="505">
                  <c:v>56.217589504429164</c:v>
                </c:pt>
                <c:pt idx="506">
                  <c:v>56.578676471679145</c:v>
                </c:pt>
                <c:pt idx="507">
                  <c:v>56.937678876444281</c:v>
                </c:pt>
                <c:pt idx="508">
                  <c:v>57.294579726530856</c:v>
                </c:pt>
                <c:pt idx="509">
                  <c:v>57.649362696191965</c:v>
                </c:pt>
                <c:pt idx="510">
                  <c:v>58.002012119259625</c:v>
                </c:pt>
                <c:pt idx="511">
                  <c:v>58.352512982157904</c:v>
                </c:pt>
                <c:pt idx="512">
                  <c:v>58.35286047909095</c:v>
                </c:pt>
                <c:pt idx="513">
                  <c:v>58.35320797387876</c:v>
                </c:pt>
                <c:pt idx="514">
                  <c:v>58.353555466521328</c:v>
                </c:pt>
                <c:pt idx="515">
                  <c:v>58.35390295701864</c:v>
                </c:pt>
                <c:pt idx="516">
                  <c:v>58.354250445370695</c:v>
                </c:pt>
                <c:pt idx="517">
                  <c:v>58.354597931577466</c:v>
                </c:pt>
                <c:pt idx="518">
                  <c:v>58.354945415638959</c:v>
                </c:pt>
                <c:pt idx="519">
                  <c:v>58.355292897555081</c:v>
                </c:pt>
                <c:pt idx="520">
                  <c:v>58.355640377325955</c:v>
                </c:pt>
                <c:pt idx="521">
                  <c:v>58.355987854951451</c:v>
                </c:pt>
                <c:pt idx="522">
                  <c:v>58.356335330431605</c:v>
                </c:pt>
                <c:pt idx="523">
                  <c:v>58.35668280376639</c:v>
                </c:pt>
                <c:pt idx="524">
                  <c:v>58.357030274955797</c:v>
                </c:pt>
                <c:pt idx="525">
                  <c:v>58.357377743999812</c:v>
                </c:pt>
                <c:pt idx="526">
                  <c:v>58.357725210898401</c:v>
                </c:pt>
                <c:pt idx="527">
                  <c:v>58.35807267565162</c:v>
                </c:pt>
                <c:pt idx="528">
                  <c:v>58.358420138259376</c:v>
                </c:pt>
                <c:pt idx="529">
                  <c:v>58.358767598721712</c:v>
                </c:pt>
                <c:pt idx="530">
                  <c:v>58.359115057038537</c:v>
                </c:pt>
                <c:pt idx="531">
                  <c:v>58.35946251320992</c:v>
                </c:pt>
                <c:pt idx="532">
                  <c:v>58.359809967235826</c:v>
                </c:pt>
                <c:pt idx="533">
                  <c:v>58.360157419116206</c:v>
                </c:pt>
                <c:pt idx="534">
                  <c:v>58.360504868851088</c:v>
                </c:pt>
                <c:pt idx="535">
                  <c:v>58.360852316440472</c:v>
                </c:pt>
                <c:pt idx="536">
                  <c:v>58.361199761884244</c:v>
                </c:pt>
                <c:pt idx="537">
                  <c:v>58.361547205182504</c:v>
                </c:pt>
                <c:pt idx="538">
                  <c:v>58.361894646335209</c:v>
                </c:pt>
                <c:pt idx="539">
                  <c:v>58.362242085342302</c:v>
                </c:pt>
                <c:pt idx="540">
                  <c:v>58.362589522203812</c:v>
                </c:pt>
                <c:pt idx="541">
                  <c:v>58.362936956919718</c:v>
                </c:pt>
                <c:pt idx="542">
                  <c:v>58.363284389490005</c:v>
                </c:pt>
                <c:pt idx="543">
                  <c:v>58.363631819914652</c:v>
                </c:pt>
                <c:pt idx="544">
                  <c:v>58.36397924819363</c:v>
                </c:pt>
                <c:pt idx="545">
                  <c:v>58.364326674326939</c:v>
                </c:pt>
                <c:pt idx="546">
                  <c:v>58.364674098314588</c:v>
                </c:pt>
                <c:pt idx="547">
                  <c:v>58.365021520156532</c:v>
                </c:pt>
                <c:pt idx="548">
                  <c:v>58.365368939852786</c:v>
                </c:pt>
                <c:pt idx="549">
                  <c:v>58.365716357403272</c:v>
                </c:pt>
                <c:pt idx="550">
                  <c:v>58.36606377280809</c:v>
                </c:pt>
                <c:pt idx="551">
                  <c:v>58.366411186067147</c:v>
                </c:pt>
                <c:pt idx="552">
                  <c:v>58.366758597180436</c:v>
                </c:pt>
                <c:pt idx="553">
                  <c:v>58.367106006147942</c:v>
                </c:pt>
                <c:pt idx="554">
                  <c:v>58.367453412969645</c:v>
                </c:pt>
                <c:pt idx="555">
                  <c:v>58.367800817645595</c:v>
                </c:pt>
                <c:pt idx="556">
                  <c:v>58.368148220175691</c:v>
                </c:pt>
                <c:pt idx="557">
                  <c:v>58.368495620559962</c:v>
                </c:pt>
                <c:pt idx="558">
                  <c:v>58.368843018798408</c:v>
                </c:pt>
                <c:pt idx="559">
                  <c:v>58.369190414890987</c:v>
                </c:pt>
                <c:pt idx="560">
                  <c:v>58.369537808837727</c:v>
                </c:pt>
                <c:pt idx="561">
                  <c:v>58.369885200638535</c:v>
                </c:pt>
                <c:pt idx="562">
                  <c:v>58.370232590293469</c:v>
                </c:pt>
                <c:pt idx="563">
                  <c:v>58.3705799778025</c:v>
                </c:pt>
                <c:pt idx="564">
                  <c:v>58.370927363165592</c:v>
                </c:pt>
                <c:pt idx="565">
                  <c:v>58.37127474638276</c:v>
                </c:pt>
                <c:pt idx="566">
                  <c:v>58.371622127453954</c:v>
                </c:pt>
                <c:pt idx="567">
                  <c:v>58.371969506379202</c:v>
                </c:pt>
                <c:pt idx="568">
                  <c:v>58.372316883158497</c:v>
                </c:pt>
                <c:pt idx="569">
                  <c:v>58.37266425779174</c:v>
                </c:pt>
                <c:pt idx="570">
                  <c:v>58.373011630279009</c:v>
                </c:pt>
                <c:pt idx="571">
                  <c:v>58.373359000620276</c:v>
                </c:pt>
                <c:pt idx="572">
                  <c:v>58.373706368815483</c:v>
                </c:pt>
                <c:pt idx="573">
                  <c:v>58.374053734864653</c:v>
                </c:pt>
                <c:pt idx="574">
                  <c:v>58.374401098767763</c:v>
                </c:pt>
                <c:pt idx="575">
                  <c:v>58.374748460524806</c:v>
                </c:pt>
                <c:pt idx="576">
                  <c:v>58.375095820135755</c:v>
                </c:pt>
                <c:pt idx="577">
                  <c:v>58.375443177600616</c:v>
                </c:pt>
                <c:pt idx="578">
                  <c:v>58.375790532919346</c:v>
                </c:pt>
                <c:pt idx="579">
                  <c:v>58.376137886091925</c:v>
                </c:pt>
                <c:pt idx="580">
                  <c:v>58.376485237118381</c:v>
                </c:pt>
                <c:pt idx="581">
                  <c:v>58.376832585998692</c:v>
                </c:pt>
                <c:pt idx="582">
                  <c:v>58.377179932732837</c:v>
                </c:pt>
                <c:pt idx="583">
                  <c:v>58.377527277320773</c:v>
                </c:pt>
                <c:pt idx="584">
                  <c:v>58.377874619762537</c:v>
                </c:pt>
                <c:pt idx="585">
                  <c:v>58.378221960058092</c:v>
                </c:pt>
                <c:pt idx="586">
                  <c:v>58.378569298207402</c:v>
                </c:pt>
                <c:pt idx="587">
                  <c:v>58.378916634210505</c:v>
                </c:pt>
                <c:pt idx="588">
                  <c:v>58.379263968067306</c:v>
                </c:pt>
                <c:pt idx="589">
                  <c:v>58.379611299777864</c:v>
                </c:pt>
                <c:pt idx="590">
                  <c:v>58.379958629342156</c:v>
                </c:pt>
                <c:pt idx="591">
                  <c:v>58.380305956760147</c:v>
                </c:pt>
                <c:pt idx="592">
                  <c:v>58.38065328203183</c:v>
                </c:pt>
                <c:pt idx="593">
                  <c:v>58.381000605157219</c:v>
                </c:pt>
                <c:pt idx="594">
                  <c:v>58.381347926136229</c:v>
                </c:pt>
                <c:pt idx="595">
                  <c:v>58.381695244968938</c:v>
                </c:pt>
                <c:pt idx="596">
                  <c:v>58.382042561655275</c:v>
                </c:pt>
                <c:pt idx="597">
                  <c:v>58.382389876195241</c:v>
                </c:pt>
                <c:pt idx="598">
                  <c:v>58.382737188588798</c:v>
                </c:pt>
                <c:pt idx="599">
                  <c:v>58.383084498835977</c:v>
                </c:pt>
                <c:pt idx="600">
                  <c:v>58.383431806936706</c:v>
                </c:pt>
                <c:pt idx="601">
                  <c:v>58.383779112891048</c:v>
                </c:pt>
                <c:pt idx="602">
                  <c:v>58.384126416698948</c:v>
                </c:pt>
                <c:pt idx="603">
                  <c:v>58.384473718360368</c:v>
                </c:pt>
                <c:pt idx="604">
                  <c:v>58.384821017875325</c:v>
                </c:pt>
                <c:pt idx="605">
                  <c:v>58.385168315243796</c:v>
                </c:pt>
                <c:pt idx="606">
                  <c:v>58.385515610465781</c:v>
                </c:pt>
                <c:pt idx="607">
                  <c:v>58.385862903541238</c:v>
                </c:pt>
                <c:pt idx="608">
                  <c:v>58.386210194470181</c:v>
                </c:pt>
                <c:pt idx="609">
                  <c:v>58.386557483252588</c:v>
                </c:pt>
                <c:pt idx="610">
                  <c:v>58.386904769888453</c:v>
                </c:pt>
                <c:pt idx="611">
                  <c:v>58.38725205437774</c:v>
                </c:pt>
                <c:pt idx="612">
                  <c:v>58.387599336720477</c:v>
                </c:pt>
                <c:pt idx="613">
                  <c:v>58.38794661691658</c:v>
                </c:pt>
                <c:pt idx="614">
                  <c:v>58.388293894966111</c:v>
                </c:pt>
                <c:pt idx="615">
                  <c:v>58.388641170868979</c:v>
                </c:pt>
                <c:pt idx="616">
                  <c:v>58.388988444625262</c:v>
                </c:pt>
                <c:pt idx="617">
                  <c:v>58.389335716234875</c:v>
                </c:pt>
                <c:pt idx="618">
                  <c:v>58.389682985697824</c:v>
                </c:pt>
                <c:pt idx="619">
                  <c:v>58.390030253014125</c:v>
                </c:pt>
                <c:pt idx="620">
                  <c:v>58.39037751818374</c:v>
                </c:pt>
                <c:pt idx="621">
                  <c:v>58.390724781206615</c:v>
                </c:pt>
                <c:pt idx="622">
                  <c:v>58.39107204208279</c:v>
                </c:pt>
                <c:pt idx="623">
                  <c:v>58.391419300812288</c:v>
                </c:pt>
                <c:pt idx="624">
                  <c:v>58.39176655739498</c:v>
                </c:pt>
                <c:pt idx="625">
                  <c:v>58.392113811830924</c:v>
                </c:pt>
                <c:pt idx="626">
                  <c:v>58.392461064120099</c:v>
                </c:pt>
                <c:pt idx="627">
                  <c:v>58.392808314262524</c:v>
                </c:pt>
                <c:pt idx="628">
                  <c:v>58.393155562258123</c:v>
                </c:pt>
                <c:pt idx="629">
                  <c:v>58.393502808106952</c:v>
                </c:pt>
                <c:pt idx="630">
                  <c:v>58.393850051808919</c:v>
                </c:pt>
                <c:pt idx="631">
                  <c:v>58.394197293364073</c:v>
                </c:pt>
                <c:pt idx="632">
                  <c:v>58.394544532772372</c:v>
                </c:pt>
                <c:pt idx="633">
                  <c:v>58.39489177003378</c:v>
                </c:pt>
                <c:pt idx="634">
                  <c:v>58.395239005148341</c:v>
                </c:pt>
                <c:pt idx="635">
                  <c:v>58.395586238116017</c:v>
                </c:pt>
                <c:pt idx="636">
                  <c:v>58.395933468936768</c:v>
                </c:pt>
                <c:pt idx="637">
                  <c:v>58.396280697610607</c:v>
                </c:pt>
                <c:pt idx="638">
                  <c:v>58.396627924137498</c:v>
                </c:pt>
                <c:pt idx="639">
                  <c:v>58.396975148517441</c:v>
                </c:pt>
                <c:pt idx="640">
                  <c:v>58.397322370750459</c:v>
                </c:pt>
                <c:pt idx="641">
                  <c:v>58.397669590836486</c:v>
                </c:pt>
                <c:pt idx="642">
                  <c:v>58.398016808775516</c:v>
                </c:pt>
                <c:pt idx="643">
                  <c:v>58.398364024567556</c:v>
                </c:pt>
                <c:pt idx="644">
                  <c:v>58.398711238212584</c:v>
                </c:pt>
                <c:pt idx="645">
                  <c:v>58.399058449710594</c:v>
                </c:pt>
                <c:pt idx="646">
                  <c:v>58.399405659061543</c:v>
                </c:pt>
                <c:pt idx="647">
                  <c:v>58.399752866265445</c:v>
                </c:pt>
                <c:pt idx="648">
                  <c:v>58.400100071322299</c:v>
                </c:pt>
                <c:pt idx="649">
                  <c:v>58.40044727423205</c:v>
                </c:pt>
                <c:pt idx="650">
                  <c:v>58.400794474994704</c:v>
                </c:pt>
                <c:pt idx="651">
                  <c:v>58.401141673610262</c:v>
                </c:pt>
                <c:pt idx="652">
                  <c:v>58.401488870078694</c:v>
                </c:pt>
                <c:pt idx="653">
                  <c:v>58.401836064400001</c:v>
                </c:pt>
                <c:pt idx="654">
                  <c:v>58.402183256574141</c:v>
                </c:pt>
                <c:pt idx="655">
                  <c:v>58.402530446601098</c:v>
                </c:pt>
                <c:pt idx="656">
                  <c:v>58.402877634480937</c:v>
                </c:pt>
                <c:pt idx="657">
                  <c:v>58.403224820213545</c:v>
                </c:pt>
                <c:pt idx="658">
                  <c:v>58.403572003798942</c:v>
                </c:pt>
                <c:pt idx="659">
                  <c:v>58.403919185237129</c:v>
                </c:pt>
                <c:pt idx="660">
                  <c:v>58.404266364528084</c:v>
                </c:pt>
                <c:pt idx="661">
                  <c:v>58.404613541671814</c:v>
                </c:pt>
                <c:pt idx="662">
                  <c:v>58.404960716668263</c:v>
                </c:pt>
                <c:pt idx="663">
                  <c:v>58.405307889517474</c:v>
                </c:pt>
                <c:pt idx="664">
                  <c:v>58.405655060219381</c:v>
                </c:pt>
                <c:pt idx="665">
                  <c:v>58.406002228773993</c:v>
                </c:pt>
                <c:pt idx="666">
                  <c:v>58.406349395181259</c:v>
                </c:pt>
                <c:pt idx="667">
                  <c:v>58.40669655944123</c:v>
                </c:pt>
                <c:pt idx="668">
                  <c:v>58.407043721553855</c:v>
                </c:pt>
                <c:pt idx="669">
                  <c:v>58.407390881519106</c:v>
                </c:pt>
                <c:pt idx="670">
                  <c:v>58.407738039337019</c:v>
                </c:pt>
                <c:pt idx="671">
                  <c:v>58.408085195007551</c:v>
                </c:pt>
                <c:pt idx="672">
                  <c:v>58.408432348530695</c:v>
                </c:pt>
                <c:pt idx="673">
                  <c:v>58.408779499906409</c:v>
                </c:pt>
                <c:pt idx="674">
                  <c:v>58.409126649134713</c:v>
                </c:pt>
                <c:pt idx="675">
                  <c:v>58.409473796215593</c:v>
                </c:pt>
                <c:pt idx="676">
                  <c:v>58.409820941148993</c:v>
                </c:pt>
                <c:pt idx="677">
                  <c:v>58.410168083934963</c:v>
                </c:pt>
                <c:pt idx="678">
                  <c:v>58.410515224573444</c:v>
                </c:pt>
                <c:pt idx="679">
                  <c:v>58.410862363064439</c:v>
                </c:pt>
                <c:pt idx="680">
                  <c:v>58.411209499407931</c:v>
                </c:pt>
                <c:pt idx="681">
                  <c:v>58.411556633603929</c:v>
                </c:pt>
                <c:pt idx="682">
                  <c:v>58.41190376565234</c:v>
                </c:pt>
                <c:pt idx="683">
                  <c:v>58.412250895553278</c:v>
                </c:pt>
                <c:pt idx="684">
                  <c:v>58.412598023306607</c:v>
                </c:pt>
                <c:pt idx="685">
                  <c:v>58.412945148912392</c:v>
                </c:pt>
                <c:pt idx="686">
                  <c:v>58.413292272370576</c:v>
                </c:pt>
                <c:pt idx="687">
                  <c:v>58.413639393681173</c:v>
                </c:pt>
                <c:pt idx="688">
                  <c:v>58.41398651284414</c:v>
                </c:pt>
                <c:pt idx="689">
                  <c:v>58.414333629859499</c:v>
                </c:pt>
                <c:pt idx="690">
                  <c:v>58.414680744727235</c:v>
                </c:pt>
                <c:pt idx="691">
                  <c:v>58.415027857447306</c:v>
                </c:pt>
                <c:pt idx="692">
                  <c:v>58.415374968019677</c:v>
                </c:pt>
                <c:pt idx="693">
                  <c:v>58.415722076444432</c:v>
                </c:pt>
                <c:pt idx="694">
                  <c:v>58.416069182721458</c:v>
                </c:pt>
                <c:pt idx="695">
                  <c:v>58.41641628685079</c:v>
                </c:pt>
                <c:pt idx="696">
                  <c:v>58.416763388832365</c:v>
                </c:pt>
                <c:pt idx="697">
                  <c:v>58.417110488666239</c:v>
                </c:pt>
                <c:pt idx="698">
                  <c:v>58.417457586352398</c:v>
                </c:pt>
                <c:pt idx="699">
                  <c:v>58.41780468189075</c:v>
                </c:pt>
                <c:pt idx="700">
                  <c:v>58.418151775281373</c:v>
                </c:pt>
                <c:pt idx="701">
                  <c:v>58.41849886652416</c:v>
                </c:pt>
                <c:pt idx="702">
                  <c:v>58.418845955619169</c:v>
                </c:pt>
                <c:pt idx="703">
                  <c:v>58.419193042566327</c:v>
                </c:pt>
                <c:pt idx="704">
                  <c:v>58.419540127365721</c:v>
                </c:pt>
                <c:pt idx="705">
                  <c:v>58.419887210017215</c:v>
                </c:pt>
                <c:pt idx="706">
                  <c:v>58.420234290520895</c:v>
                </c:pt>
                <c:pt idx="707">
                  <c:v>58.42058136887669</c:v>
                </c:pt>
                <c:pt idx="708">
                  <c:v>58.420928445084606</c:v>
                </c:pt>
                <c:pt idx="709">
                  <c:v>58.421275519144615</c:v>
                </c:pt>
                <c:pt idx="710">
                  <c:v>58.421622591056739</c:v>
                </c:pt>
                <c:pt idx="711">
                  <c:v>58.42196966082092</c:v>
                </c:pt>
                <c:pt idx="712">
                  <c:v>58.42231672843716</c:v>
                </c:pt>
                <c:pt idx="713">
                  <c:v>58.422663793905471</c:v>
                </c:pt>
                <c:pt idx="714">
                  <c:v>58.423010857225812</c:v>
                </c:pt>
                <c:pt idx="715">
                  <c:v>58.423357918398167</c:v>
                </c:pt>
                <c:pt idx="716">
                  <c:v>58.423704977422531</c:v>
                </c:pt>
                <c:pt idx="717">
                  <c:v>58.42405203429891</c:v>
                </c:pt>
                <c:pt idx="718">
                  <c:v>58.424399089027247</c:v>
                </c:pt>
                <c:pt idx="719">
                  <c:v>58.424746141607557</c:v>
                </c:pt>
                <c:pt idx="720">
                  <c:v>58.425093192039832</c:v>
                </c:pt>
                <c:pt idx="721">
                  <c:v>58.425440240324015</c:v>
                </c:pt>
                <c:pt idx="722">
                  <c:v>58.425787286460171</c:v>
                </c:pt>
                <c:pt idx="723">
                  <c:v>58.426134330448214</c:v>
                </c:pt>
                <c:pt idx="724">
                  <c:v>58.42648137228818</c:v>
                </c:pt>
                <c:pt idx="725">
                  <c:v>58.426828411980011</c:v>
                </c:pt>
                <c:pt idx="726">
                  <c:v>58.427175449523737</c:v>
                </c:pt>
                <c:pt idx="727">
                  <c:v>58.427522484919308</c:v>
                </c:pt>
                <c:pt idx="728">
                  <c:v>58.427869518166709</c:v>
                </c:pt>
                <c:pt idx="729">
                  <c:v>58.428216549265969</c:v>
                </c:pt>
                <c:pt idx="730">
                  <c:v>58.428563578217052</c:v>
                </c:pt>
                <c:pt idx="731">
                  <c:v>58.428910605019944</c:v>
                </c:pt>
                <c:pt idx="732">
                  <c:v>58.429257629674602</c:v>
                </c:pt>
                <c:pt idx="733">
                  <c:v>58.429604652181077</c:v>
                </c:pt>
                <c:pt idx="734">
                  <c:v>58.429951672539303</c:v>
                </c:pt>
                <c:pt idx="735">
                  <c:v>58.430298690749247</c:v>
                </c:pt>
                <c:pt idx="736">
                  <c:v>58.430645706810949</c:v>
                </c:pt>
                <c:pt idx="737">
                  <c:v>58.430992720724397</c:v>
                </c:pt>
                <c:pt idx="738">
                  <c:v>58.431339732489548</c:v>
                </c:pt>
                <c:pt idx="739">
                  <c:v>58.431686742106386</c:v>
                </c:pt>
                <c:pt idx="740">
                  <c:v>58.432033749574899</c:v>
                </c:pt>
                <c:pt idx="741">
                  <c:v>58.432380754895092</c:v>
                </c:pt>
                <c:pt idx="742">
                  <c:v>58.432727758066953</c:v>
                </c:pt>
                <c:pt idx="743">
                  <c:v>58.433074759090452</c:v>
                </c:pt>
                <c:pt idx="744">
                  <c:v>58.433421757965583</c:v>
                </c:pt>
                <c:pt idx="745">
                  <c:v>58.433768754692345</c:v>
                </c:pt>
                <c:pt idx="746">
                  <c:v>58.434115749270681</c:v>
                </c:pt>
                <c:pt idx="747">
                  <c:v>58.434462741700607</c:v>
                </c:pt>
                <c:pt idx="748">
                  <c:v>58.434809731982121</c:v>
                </c:pt>
                <c:pt idx="749">
                  <c:v>58.435156720115216</c:v>
                </c:pt>
                <c:pt idx="750">
                  <c:v>58.435503706099837</c:v>
                </c:pt>
                <c:pt idx="751">
                  <c:v>58.435850689935997</c:v>
                </c:pt>
                <c:pt idx="752">
                  <c:v>58.436197671623681</c:v>
                </c:pt>
                <c:pt idx="753">
                  <c:v>58.436544651162883</c:v>
                </c:pt>
                <c:pt idx="754">
                  <c:v>58.436891628553568</c:v>
                </c:pt>
                <c:pt idx="755">
                  <c:v>58.437238603795734</c:v>
                </c:pt>
                <c:pt idx="756">
                  <c:v>58.437585576889354</c:v>
                </c:pt>
                <c:pt idx="757">
                  <c:v>58.43793254783445</c:v>
                </c:pt>
                <c:pt idx="758">
                  <c:v>58.438279516630992</c:v>
                </c:pt>
                <c:pt idx="759">
                  <c:v>58.438626483278931</c:v>
                </c:pt>
                <c:pt idx="760">
                  <c:v>58.438973447778295</c:v>
                </c:pt>
                <c:pt idx="761">
                  <c:v>58.439320410129071</c:v>
                </c:pt>
                <c:pt idx="762">
                  <c:v>58.439667370331243</c:v>
                </c:pt>
                <c:pt idx="763">
                  <c:v>58.44001432838477</c:v>
                </c:pt>
                <c:pt idx="764">
                  <c:v>58.440361284289665</c:v>
                </c:pt>
                <c:pt idx="765">
                  <c:v>58.4407082380459</c:v>
                </c:pt>
                <c:pt idx="766">
                  <c:v>58.441055189653476</c:v>
                </c:pt>
                <c:pt idx="767">
                  <c:v>58.441402139112363</c:v>
                </c:pt>
                <c:pt idx="768">
                  <c:v>58.441749086422561</c:v>
                </c:pt>
                <c:pt idx="769">
                  <c:v>58.442096031584043</c:v>
                </c:pt>
                <c:pt idx="770">
                  <c:v>58.442442974596801</c:v>
                </c:pt>
                <c:pt idx="771">
                  <c:v>58.44278991546085</c:v>
                </c:pt>
                <c:pt idx="772">
                  <c:v>58.443136854176124</c:v>
                </c:pt>
                <c:pt idx="773">
                  <c:v>58.443483790742611</c:v>
                </c:pt>
                <c:pt idx="774">
                  <c:v>58.443830725160382</c:v>
                </c:pt>
                <c:pt idx="775">
                  <c:v>58.444177657429343</c:v>
                </c:pt>
                <c:pt idx="776">
                  <c:v>58.444524587549495</c:v>
                </c:pt>
                <c:pt idx="777">
                  <c:v>58.44487151552083</c:v>
                </c:pt>
                <c:pt idx="778">
                  <c:v>58.445218441343322</c:v>
                </c:pt>
                <c:pt idx="779">
                  <c:v>58.445565365017018</c:v>
                </c:pt>
                <c:pt idx="780">
                  <c:v>58.445912286541784</c:v>
                </c:pt>
                <c:pt idx="781">
                  <c:v>58.446259205917741</c:v>
                </c:pt>
                <c:pt idx="782">
                  <c:v>58.446606123144775</c:v>
                </c:pt>
                <c:pt idx="783">
                  <c:v>58.446953038222958</c:v>
                </c:pt>
                <c:pt idx="784">
                  <c:v>58.447299951152203</c:v>
                </c:pt>
                <c:pt idx="785">
                  <c:v>58.447646861932533</c:v>
                </c:pt>
                <c:pt idx="786">
                  <c:v>58.447993770563912</c:v>
                </c:pt>
                <c:pt idx="787">
                  <c:v>58.448340677046339</c:v>
                </c:pt>
                <c:pt idx="788">
                  <c:v>58.448687581379794</c:v>
                </c:pt>
                <c:pt idx="789">
                  <c:v>58.449034483564297</c:v>
                </c:pt>
                <c:pt idx="790">
                  <c:v>58.4493813835998</c:v>
                </c:pt>
                <c:pt idx="791">
                  <c:v>58.449728281486301</c:v>
                </c:pt>
                <c:pt idx="792">
                  <c:v>58.450075177223766</c:v>
                </c:pt>
                <c:pt idx="793">
                  <c:v>58.450422070812202</c:v>
                </c:pt>
                <c:pt idx="794">
                  <c:v>58.450768962251594</c:v>
                </c:pt>
                <c:pt idx="795">
                  <c:v>58.451115851541928</c:v>
                </c:pt>
                <c:pt idx="796">
                  <c:v>58.451462738683162</c:v>
                </c:pt>
                <c:pt idx="797">
                  <c:v>58.451809623675359</c:v>
                </c:pt>
                <c:pt idx="798">
                  <c:v>58.452156506518463</c:v>
                </c:pt>
                <c:pt idx="799">
                  <c:v>58.452503387212424</c:v>
                </c:pt>
                <c:pt idx="800">
                  <c:v>58.452850265757263</c:v>
                </c:pt>
                <c:pt idx="801">
                  <c:v>58.453197142152966</c:v>
                </c:pt>
                <c:pt idx="802">
                  <c:v>58.453544016399519</c:v>
                </c:pt>
                <c:pt idx="803">
                  <c:v>58.453890888496893</c:v>
                </c:pt>
                <c:pt idx="804">
                  <c:v>58.454237758445103</c:v>
                </c:pt>
                <c:pt idx="805">
                  <c:v>58.454584626244085</c:v>
                </c:pt>
                <c:pt idx="806">
                  <c:v>58.45493149189388</c:v>
                </c:pt>
                <c:pt idx="807">
                  <c:v>58.455278355394448</c:v>
                </c:pt>
                <c:pt idx="808">
                  <c:v>58.455625216745787</c:v>
                </c:pt>
                <c:pt idx="809">
                  <c:v>58.455972075947876</c:v>
                </c:pt>
                <c:pt idx="810">
                  <c:v>58.45631893300073</c:v>
                </c:pt>
                <c:pt idx="811">
                  <c:v>58.456665787904278</c:v>
                </c:pt>
                <c:pt idx="812">
                  <c:v>58.457012640658547</c:v>
                </c:pt>
                <c:pt idx="813">
                  <c:v>58.457359491263517</c:v>
                </c:pt>
                <c:pt idx="814">
                  <c:v>58.457706339719145</c:v>
                </c:pt>
                <c:pt idx="815">
                  <c:v>58.458053186025467</c:v>
                </c:pt>
                <c:pt idx="816">
                  <c:v>58.458400030182453</c:v>
                </c:pt>
                <c:pt idx="817">
                  <c:v>58.458746872190098</c:v>
                </c:pt>
                <c:pt idx="818">
                  <c:v>58.459093712048372</c:v>
                </c:pt>
                <c:pt idx="819">
                  <c:v>58.459440549757211</c:v>
                </c:pt>
                <c:pt idx="820">
                  <c:v>58.45978738531668</c:v>
                </c:pt>
                <c:pt idx="821">
                  <c:v>58.460134218726751</c:v>
                </c:pt>
                <c:pt idx="822">
                  <c:v>58.460481049987379</c:v>
                </c:pt>
                <c:pt idx="823">
                  <c:v>58.460827879098566</c:v>
                </c:pt>
                <c:pt idx="824">
                  <c:v>58.461174706060319</c:v>
                </c:pt>
                <c:pt idx="825">
                  <c:v>58.461521530872602</c:v>
                </c:pt>
                <c:pt idx="826">
                  <c:v>58.461868353535444</c:v>
                </c:pt>
                <c:pt idx="827">
                  <c:v>58.462215174048751</c:v>
                </c:pt>
                <c:pt idx="828">
                  <c:v>58.46256199241256</c:v>
                </c:pt>
                <c:pt idx="829">
                  <c:v>58.462908808626864</c:v>
                </c:pt>
                <c:pt idx="830">
                  <c:v>58.463255622691619</c:v>
                </c:pt>
                <c:pt idx="831">
                  <c:v>58.463602434606834</c:v>
                </c:pt>
                <c:pt idx="832">
                  <c:v>58.463949244372508</c:v>
                </c:pt>
                <c:pt idx="833">
                  <c:v>58.464296051988597</c:v>
                </c:pt>
                <c:pt idx="834">
                  <c:v>58.464642857455139</c:v>
                </c:pt>
                <c:pt idx="835">
                  <c:v>58.464989660772005</c:v>
                </c:pt>
                <c:pt idx="836">
                  <c:v>58.465336461939316</c:v>
                </c:pt>
                <c:pt idx="837">
                  <c:v>58.465683260956965</c:v>
                </c:pt>
                <c:pt idx="838">
                  <c:v>58.466030057825016</c:v>
                </c:pt>
                <c:pt idx="839">
                  <c:v>58.466376852543398</c:v>
                </c:pt>
                <c:pt idx="840">
                  <c:v>58.466723645112083</c:v>
                </c:pt>
                <c:pt idx="841">
                  <c:v>58.467070435531134</c:v>
                </c:pt>
                <c:pt idx="842">
                  <c:v>58.467417223800467</c:v>
                </c:pt>
                <c:pt idx="843">
                  <c:v>58.467764009920103</c:v>
                </c:pt>
                <c:pt idx="844">
                  <c:v>58.468110793890013</c:v>
                </c:pt>
                <c:pt idx="845">
                  <c:v>58.468457575710197</c:v>
                </c:pt>
                <c:pt idx="846">
                  <c:v>58.468804355380605</c:v>
                </c:pt>
                <c:pt idx="847">
                  <c:v>58.469151132901295</c:v>
                </c:pt>
                <c:pt idx="848">
                  <c:v>58.469497908272182</c:v>
                </c:pt>
                <c:pt idx="849">
                  <c:v>58.469844681493321</c:v>
                </c:pt>
                <c:pt idx="850">
                  <c:v>58.470191452564634</c:v>
                </c:pt>
                <c:pt idx="851">
                  <c:v>58.470538221486137</c:v>
                </c:pt>
                <c:pt idx="852">
                  <c:v>58.470884988257794</c:v>
                </c:pt>
                <c:pt idx="853">
                  <c:v>58.471231752879611</c:v>
                </c:pt>
                <c:pt idx="854">
                  <c:v>58.47157851535156</c:v>
                </c:pt>
                <c:pt idx="855">
                  <c:v>58.471925275673655</c:v>
                </c:pt>
                <c:pt idx="856">
                  <c:v>58.472272033845869</c:v>
                </c:pt>
                <c:pt idx="857">
                  <c:v>58.472618789868214</c:v>
                </c:pt>
                <c:pt idx="858">
                  <c:v>58.472965543740628</c:v>
                </c:pt>
                <c:pt idx="859">
                  <c:v>58.473312295463153</c:v>
                </c:pt>
                <c:pt idx="860">
                  <c:v>58.473659045035667</c:v>
                </c:pt>
                <c:pt idx="861">
                  <c:v>58.474005792458293</c:v>
                </c:pt>
                <c:pt idx="862">
                  <c:v>58.474352537730944</c:v>
                </c:pt>
                <c:pt idx="863">
                  <c:v>58.474699280853606</c:v>
                </c:pt>
                <c:pt idx="864">
                  <c:v>58.475046021826302</c:v>
                </c:pt>
                <c:pt idx="865">
                  <c:v>58.475392760648987</c:v>
                </c:pt>
                <c:pt idx="866">
                  <c:v>58.475739497321648</c:v>
                </c:pt>
                <c:pt idx="867">
                  <c:v>58.476086231844299</c:v>
                </c:pt>
                <c:pt idx="868">
                  <c:v>58.476432964216876</c:v>
                </c:pt>
                <c:pt idx="869">
                  <c:v>58.476779694439415</c:v>
                </c:pt>
                <c:pt idx="870">
                  <c:v>58.477126422511894</c:v>
                </c:pt>
                <c:pt idx="871">
                  <c:v>58.477473148434271</c:v>
                </c:pt>
                <c:pt idx="872">
                  <c:v>58.47781987220656</c:v>
                </c:pt>
                <c:pt idx="873">
                  <c:v>58.478166593828725</c:v>
                </c:pt>
                <c:pt idx="874">
                  <c:v>58.478513313300795</c:v>
                </c:pt>
                <c:pt idx="875">
                  <c:v>58.478860030622698</c:v>
                </c:pt>
                <c:pt idx="876">
                  <c:v>58.479206745794464</c:v>
                </c:pt>
                <c:pt idx="877">
                  <c:v>58.479553458816063</c:v>
                </c:pt>
                <c:pt idx="878">
                  <c:v>58.479900169687497</c:v>
                </c:pt>
                <c:pt idx="879">
                  <c:v>58.4802468784087</c:v>
                </c:pt>
                <c:pt idx="880">
                  <c:v>58.480593584979729</c:v>
                </c:pt>
                <c:pt idx="881">
                  <c:v>58.480940289400543</c:v>
                </c:pt>
                <c:pt idx="882">
                  <c:v>58.481286991671148</c:v>
                </c:pt>
                <c:pt idx="883">
                  <c:v>58.48163369179148</c:v>
                </c:pt>
                <c:pt idx="884">
                  <c:v>58.481980389761553</c:v>
                </c:pt>
                <c:pt idx="885">
                  <c:v>58.482327085581346</c:v>
                </c:pt>
                <c:pt idx="886">
                  <c:v>58.48267377925086</c:v>
                </c:pt>
                <c:pt idx="887">
                  <c:v>58.483020470770072</c:v>
                </c:pt>
                <c:pt idx="888">
                  <c:v>58.483367160138997</c:v>
                </c:pt>
                <c:pt idx="889">
                  <c:v>58.483713847357578</c:v>
                </c:pt>
                <c:pt idx="890">
                  <c:v>58.484060532425829</c:v>
                </c:pt>
                <c:pt idx="891">
                  <c:v>58.484407215343701</c:v>
                </c:pt>
                <c:pt idx="892">
                  <c:v>58.484753896111236</c:v>
                </c:pt>
                <c:pt idx="893">
                  <c:v>58.485100574728378</c:v>
                </c:pt>
                <c:pt idx="894">
                  <c:v>58.485447251195133</c:v>
                </c:pt>
                <c:pt idx="895">
                  <c:v>58.485793925511466</c:v>
                </c:pt>
                <c:pt idx="896">
                  <c:v>58.486140597677398</c:v>
                </c:pt>
                <c:pt idx="897">
                  <c:v>58.486487267692922</c:v>
                </c:pt>
                <c:pt idx="898">
                  <c:v>58.486833935557975</c:v>
                </c:pt>
                <c:pt idx="899">
                  <c:v>58.487180601272534</c:v>
                </c:pt>
                <c:pt idx="900">
                  <c:v>58.487527264836658</c:v>
                </c:pt>
                <c:pt idx="901">
                  <c:v>58.48787392625028</c:v>
                </c:pt>
                <c:pt idx="902">
                  <c:v>58.488220585513417</c:v>
                </c:pt>
                <c:pt idx="903">
                  <c:v>58.488567242626026</c:v>
                </c:pt>
                <c:pt idx="904">
                  <c:v>58.488913897588105</c:v>
                </c:pt>
                <c:pt idx="905">
                  <c:v>58.489260550399656</c:v>
                </c:pt>
                <c:pt idx="906">
                  <c:v>58.489607201060643</c:v>
                </c:pt>
                <c:pt idx="907">
                  <c:v>58.489953849571073</c:v>
                </c:pt>
                <c:pt idx="908">
                  <c:v>58.490300495930903</c:v>
                </c:pt>
                <c:pt idx="909">
                  <c:v>58.490647140140162</c:v>
                </c:pt>
                <c:pt idx="910">
                  <c:v>58.490993782198807</c:v>
                </c:pt>
                <c:pt idx="911">
                  <c:v>58.49134042210683</c:v>
                </c:pt>
                <c:pt idx="912">
                  <c:v>58.491687059864226</c:v>
                </c:pt>
                <c:pt idx="913">
                  <c:v>58.49203369547093</c:v>
                </c:pt>
                <c:pt idx="914">
                  <c:v>58.492380328927041</c:v>
                </c:pt>
                <c:pt idx="915">
                  <c:v>58.492726960232439</c:v>
                </c:pt>
                <c:pt idx="916">
                  <c:v>58.493073589387173</c:v>
                </c:pt>
                <c:pt idx="917">
                  <c:v>58.493420216391165</c:v>
                </c:pt>
                <c:pt idx="918">
                  <c:v>58.493766841244458</c:v>
                </c:pt>
                <c:pt idx="919">
                  <c:v>58.494113463947052</c:v>
                </c:pt>
                <c:pt idx="920">
                  <c:v>58.494460084498883</c:v>
                </c:pt>
                <c:pt idx="921">
                  <c:v>58.494806702899957</c:v>
                </c:pt>
                <c:pt idx="922">
                  <c:v>58.495153319150269</c:v>
                </c:pt>
                <c:pt idx="923">
                  <c:v>58.495499933249782</c:v>
                </c:pt>
                <c:pt idx="924">
                  <c:v>58.495846545198525</c:v>
                </c:pt>
                <c:pt idx="925">
                  <c:v>58.49619315499644</c:v>
                </c:pt>
                <c:pt idx="926">
                  <c:v>58.496539762643536</c:v>
                </c:pt>
                <c:pt idx="927">
                  <c:v>58.496886368139798</c:v>
                </c:pt>
                <c:pt idx="928">
                  <c:v>58.497232971485211</c:v>
                </c:pt>
                <c:pt idx="929">
                  <c:v>58.497579572679754</c:v>
                </c:pt>
                <c:pt idx="930">
                  <c:v>58.497926171723421</c:v>
                </c:pt>
                <c:pt idx="931">
                  <c:v>58.498272768616204</c:v>
                </c:pt>
                <c:pt idx="932">
                  <c:v>58.498619363358074</c:v>
                </c:pt>
                <c:pt idx="933">
                  <c:v>58.498965955949053</c:v>
                </c:pt>
                <c:pt idx="934">
                  <c:v>58.499312546389085</c:v>
                </c:pt>
                <c:pt idx="935">
                  <c:v>58.499659134678168</c:v>
                </c:pt>
                <c:pt idx="936">
                  <c:v>58.500005720816326</c:v>
                </c:pt>
                <c:pt idx="937">
                  <c:v>58.500352304803464</c:v>
                </c:pt>
                <c:pt idx="938">
                  <c:v>58.500698886639654</c:v>
                </c:pt>
                <c:pt idx="939">
                  <c:v>58.501045466324847</c:v>
                </c:pt>
                <c:pt idx="940">
                  <c:v>58.501392043859042</c:v>
                </c:pt>
                <c:pt idx="941">
                  <c:v>58.50173861924219</c:v>
                </c:pt>
                <c:pt idx="942">
                  <c:v>58.50208519247429</c:v>
                </c:pt>
                <c:pt idx="943">
                  <c:v>58.502431763555343</c:v>
                </c:pt>
                <c:pt idx="944">
                  <c:v>58.502778332485335</c:v>
                </c:pt>
                <c:pt idx="945">
                  <c:v>58.503124899264272</c:v>
                </c:pt>
                <c:pt idx="946">
                  <c:v>58.503471463892105</c:v>
                </c:pt>
                <c:pt idx="947">
                  <c:v>58.50381802636884</c:v>
                </c:pt>
                <c:pt idx="948">
                  <c:v>58.504164586694429</c:v>
                </c:pt>
                <c:pt idx="949">
                  <c:v>58.504511144868935</c:v>
                </c:pt>
                <c:pt idx="950">
                  <c:v>58.504857700892266</c:v>
                </c:pt>
                <c:pt idx="951">
                  <c:v>58.50520425476445</c:v>
                </c:pt>
                <c:pt idx="952">
                  <c:v>58.505550806485452</c:v>
                </c:pt>
                <c:pt idx="953">
                  <c:v>58.50589735605525</c:v>
                </c:pt>
                <c:pt idx="954">
                  <c:v>58.506243903473887</c:v>
                </c:pt>
                <c:pt idx="955">
                  <c:v>58.506590448741321</c:v>
                </c:pt>
                <c:pt idx="956">
                  <c:v>58.506936991857501</c:v>
                </c:pt>
                <c:pt idx="957">
                  <c:v>58.507283532822456</c:v>
                </c:pt>
                <c:pt idx="958">
                  <c:v>58.50763007163615</c:v>
                </c:pt>
                <c:pt idx="959">
                  <c:v>58.507976608298591</c:v>
                </c:pt>
                <c:pt idx="960">
                  <c:v>58.508323142809729</c:v>
                </c:pt>
                <c:pt idx="961">
                  <c:v>58.508669675169614</c:v>
                </c:pt>
                <c:pt idx="962">
                  <c:v>58.509016205378167</c:v>
                </c:pt>
                <c:pt idx="963">
                  <c:v>58.50936273343541</c:v>
                </c:pt>
                <c:pt idx="964">
                  <c:v>58.509709259341328</c:v>
                </c:pt>
                <c:pt idx="965">
                  <c:v>58.5100557830959</c:v>
                </c:pt>
                <c:pt idx="966">
                  <c:v>58.510402304699106</c:v>
                </c:pt>
                <c:pt idx="967">
                  <c:v>58.510748824150937</c:v>
                </c:pt>
                <c:pt idx="968">
                  <c:v>58.511095341451409</c:v>
                </c:pt>
                <c:pt idx="969">
                  <c:v>58.511441856600442</c:v>
                </c:pt>
                <c:pt idx="970">
                  <c:v>58.511788369598086</c:v>
                </c:pt>
                <c:pt idx="971">
                  <c:v>58.512134880444272</c:v>
                </c:pt>
                <c:pt idx="972">
                  <c:v>58.512481389139033</c:v>
                </c:pt>
                <c:pt idx="973">
                  <c:v>58.512827895682385</c:v>
                </c:pt>
                <c:pt idx="974">
                  <c:v>58.513174400074256</c:v>
                </c:pt>
                <c:pt idx="975">
                  <c:v>58.513520902314617</c:v>
                </c:pt>
                <c:pt idx="976">
                  <c:v>58.513867402403498</c:v>
                </c:pt>
                <c:pt idx="977">
                  <c:v>58.51421390034087</c:v>
                </c:pt>
                <c:pt idx="978">
                  <c:v>58.51456039612674</c:v>
                </c:pt>
                <c:pt idx="979">
                  <c:v>58.51490688976105</c:v>
                </c:pt>
                <c:pt idx="980">
                  <c:v>58.515253381243824</c:v>
                </c:pt>
                <c:pt idx="981">
                  <c:v>58.515599870575052</c:v>
                </c:pt>
                <c:pt idx="982">
                  <c:v>58.515946357754714</c:v>
                </c:pt>
                <c:pt idx="983">
                  <c:v>58.516292842782747</c:v>
                </c:pt>
                <c:pt idx="984">
                  <c:v>58.516639325659206</c:v>
                </c:pt>
                <c:pt idx="985">
                  <c:v>58.516985806384056</c:v>
                </c:pt>
                <c:pt idx="986">
                  <c:v>58.517332284957263</c:v>
                </c:pt>
                <c:pt idx="987">
                  <c:v>58.517678761378846</c:v>
                </c:pt>
                <c:pt idx="988">
                  <c:v>58.5180252356488</c:v>
                </c:pt>
                <c:pt idx="989">
                  <c:v>58.518371707767045</c:v>
                </c:pt>
                <c:pt idx="990">
                  <c:v>58.518718177733625</c:v>
                </c:pt>
                <c:pt idx="991">
                  <c:v>58.519064645548511</c:v>
                </c:pt>
                <c:pt idx="992">
                  <c:v>58.519411111211717</c:v>
                </c:pt>
                <c:pt idx="993">
                  <c:v>58.519757574723144</c:v>
                </c:pt>
                <c:pt idx="994">
                  <c:v>58.520104036082884</c:v>
                </c:pt>
                <c:pt idx="995">
                  <c:v>58.520450495290874</c:v>
                </c:pt>
                <c:pt idx="996">
                  <c:v>58.520796952347077</c:v>
                </c:pt>
                <c:pt idx="997">
                  <c:v>58.521143407251536</c:v>
                </c:pt>
                <c:pt idx="998">
                  <c:v>58.521489860004209</c:v>
                </c:pt>
                <c:pt idx="999">
                  <c:v>58.521836310605039</c:v>
                </c:pt>
                <c:pt idx="1000">
                  <c:v>58.52218275905409</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33.100100000000204</c:v>
                </c:pt>
                <c:pt idx="513">
                  <c:v>33.100200000000207</c:v>
                </c:pt>
                <c:pt idx="514">
                  <c:v>33.10030000000021</c:v>
                </c:pt>
                <c:pt idx="515">
                  <c:v>33.100400000000214</c:v>
                </c:pt>
                <c:pt idx="516">
                  <c:v>33.100500000000217</c:v>
                </c:pt>
                <c:pt idx="517">
                  <c:v>33.10060000000022</c:v>
                </c:pt>
                <c:pt idx="518">
                  <c:v>33.100700000000224</c:v>
                </c:pt>
                <c:pt idx="519">
                  <c:v>33.100800000000227</c:v>
                </c:pt>
                <c:pt idx="520">
                  <c:v>33.10090000000023</c:v>
                </c:pt>
                <c:pt idx="521">
                  <c:v>33.101000000000234</c:v>
                </c:pt>
                <c:pt idx="522">
                  <c:v>33.101100000000237</c:v>
                </c:pt>
                <c:pt idx="523">
                  <c:v>33.10120000000024</c:v>
                </c:pt>
                <c:pt idx="524">
                  <c:v>33.101300000000244</c:v>
                </c:pt>
                <c:pt idx="525">
                  <c:v>33.101400000000247</c:v>
                </c:pt>
                <c:pt idx="526">
                  <c:v>33.10150000000025</c:v>
                </c:pt>
                <c:pt idx="527">
                  <c:v>33.101600000000253</c:v>
                </c:pt>
                <c:pt idx="528">
                  <c:v>33.101700000000257</c:v>
                </c:pt>
                <c:pt idx="529">
                  <c:v>33.10180000000026</c:v>
                </c:pt>
                <c:pt idx="530">
                  <c:v>33.101900000000263</c:v>
                </c:pt>
                <c:pt idx="531">
                  <c:v>33.102000000000267</c:v>
                </c:pt>
                <c:pt idx="532">
                  <c:v>33.10210000000027</c:v>
                </c:pt>
                <c:pt idx="533">
                  <c:v>33.102200000000273</c:v>
                </c:pt>
                <c:pt idx="534">
                  <c:v>33.102300000000277</c:v>
                </c:pt>
                <c:pt idx="535">
                  <c:v>33.10240000000028</c:v>
                </c:pt>
                <c:pt idx="536">
                  <c:v>33.102500000000283</c:v>
                </c:pt>
                <c:pt idx="537">
                  <c:v>33.102600000000287</c:v>
                </c:pt>
                <c:pt idx="538">
                  <c:v>33.10270000000029</c:v>
                </c:pt>
                <c:pt idx="539">
                  <c:v>33.102800000000293</c:v>
                </c:pt>
                <c:pt idx="540">
                  <c:v>33.102900000000297</c:v>
                </c:pt>
                <c:pt idx="541">
                  <c:v>33.1030000000003</c:v>
                </c:pt>
                <c:pt idx="542">
                  <c:v>33.103100000000303</c:v>
                </c:pt>
                <c:pt idx="543">
                  <c:v>33.103200000000307</c:v>
                </c:pt>
                <c:pt idx="544">
                  <c:v>33.10330000000031</c:v>
                </c:pt>
                <c:pt idx="545">
                  <c:v>33.103400000000313</c:v>
                </c:pt>
                <c:pt idx="546">
                  <c:v>33.103500000000317</c:v>
                </c:pt>
                <c:pt idx="547">
                  <c:v>33.10360000000032</c:v>
                </c:pt>
                <c:pt idx="548">
                  <c:v>33.103700000000323</c:v>
                </c:pt>
                <c:pt idx="549">
                  <c:v>33.103800000000327</c:v>
                </c:pt>
                <c:pt idx="550">
                  <c:v>33.10390000000033</c:v>
                </c:pt>
                <c:pt idx="551">
                  <c:v>33.104000000000333</c:v>
                </c:pt>
                <c:pt idx="552">
                  <c:v>33.104100000000336</c:v>
                </c:pt>
                <c:pt idx="553">
                  <c:v>33.10420000000034</c:v>
                </c:pt>
                <c:pt idx="554">
                  <c:v>33.104300000000343</c:v>
                </c:pt>
                <c:pt idx="555">
                  <c:v>33.104400000000346</c:v>
                </c:pt>
                <c:pt idx="556">
                  <c:v>33.10450000000035</c:v>
                </c:pt>
                <c:pt idx="557">
                  <c:v>33.104600000000353</c:v>
                </c:pt>
                <c:pt idx="558">
                  <c:v>33.104700000000356</c:v>
                </c:pt>
                <c:pt idx="559">
                  <c:v>33.10480000000036</c:v>
                </c:pt>
                <c:pt idx="560">
                  <c:v>33.104900000000363</c:v>
                </c:pt>
                <c:pt idx="561">
                  <c:v>33.105000000000366</c:v>
                </c:pt>
                <c:pt idx="562">
                  <c:v>33.10510000000037</c:v>
                </c:pt>
                <c:pt idx="563">
                  <c:v>33.105200000000373</c:v>
                </c:pt>
                <c:pt idx="564">
                  <c:v>33.105300000000376</c:v>
                </c:pt>
                <c:pt idx="565">
                  <c:v>33.10540000000038</c:v>
                </c:pt>
                <c:pt idx="566">
                  <c:v>33.105500000000383</c:v>
                </c:pt>
                <c:pt idx="567">
                  <c:v>33.105600000000386</c:v>
                </c:pt>
                <c:pt idx="568">
                  <c:v>33.10570000000039</c:v>
                </c:pt>
                <c:pt idx="569">
                  <c:v>33.105800000000393</c:v>
                </c:pt>
                <c:pt idx="570">
                  <c:v>33.105900000000396</c:v>
                </c:pt>
                <c:pt idx="571">
                  <c:v>33.1060000000004</c:v>
                </c:pt>
                <c:pt idx="572">
                  <c:v>33.106100000000403</c:v>
                </c:pt>
                <c:pt idx="573">
                  <c:v>33.106200000000406</c:v>
                </c:pt>
                <c:pt idx="574">
                  <c:v>33.10630000000041</c:v>
                </c:pt>
                <c:pt idx="575">
                  <c:v>33.106400000000413</c:v>
                </c:pt>
                <c:pt idx="576">
                  <c:v>33.106500000000416</c:v>
                </c:pt>
                <c:pt idx="577">
                  <c:v>33.106600000000419</c:v>
                </c:pt>
                <c:pt idx="578">
                  <c:v>33.106700000000423</c:v>
                </c:pt>
                <c:pt idx="579">
                  <c:v>33.106800000000426</c:v>
                </c:pt>
                <c:pt idx="580">
                  <c:v>33.106900000000429</c:v>
                </c:pt>
                <c:pt idx="581">
                  <c:v>33.107000000000433</c:v>
                </c:pt>
                <c:pt idx="582">
                  <c:v>33.107100000000436</c:v>
                </c:pt>
                <c:pt idx="583">
                  <c:v>33.107200000000439</c:v>
                </c:pt>
                <c:pt idx="584">
                  <c:v>33.107300000000443</c:v>
                </c:pt>
                <c:pt idx="585">
                  <c:v>33.107400000000446</c:v>
                </c:pt>
                <c:pt idx="586">
                  <c:v>33.107500000000449</c:v>
                </c:pt>
                <c:pt idx="587">
                  <c:v>33.107600000000453</c:v>
                </c:pt>
                <c:pt idx="588">
                  <c:v>33.107700000000456</c:v>
                </c:pt>
                <c:pt idx="589">
                  <c:v>33.107800000000459</c:v>
                </c:pt>
                <c:pt idx="590">
                  <c:v>33.107900000000463</c:v>
                </c:pt>
                <c:pt idx="591">
                  <c:v>33.108000000000466</c:v>
                </c:pt>
                <c:pt idx="592">
                  <c:v>33.108100000000469</c:v>
                </c:pt>
                <c:pt idx="593">
                  <c:v>33.108200000000473</c:v>
                </c:pt>
                <c:pt idx="594">
                  <c:v>33.108300000000476</c:v>
                </c:pt>
                <c:pt idx="595">
                  <c:v>33.108400000000479</c:v>
                </c:pt>
                <c:pt idx="596">
                  <c:v>33.108500000000483</c:v>
                </c:pt>
                <c:pt idx="597">
                  <c:v>33.108600000000486</c:v>
                </c:pt>
                <c:pt idx="598">
                  <c:v>33.108700000000489</c:v>
                </c:pt>
                <c:pt idx="599">
                  <c:v>33.108800000000493</c:v>
                </c:pt>
                <c:pt idx="600">
                  <c:v>33.108900000000496</c:v>
                </c:pt>
                <c:pt idx="601">
                  <c:v>33.109000000000499</c:v>
                </c:pt>
                <c:pt idx="602">
                  <c:v>33.109100000000502</c:v>
                </c:pt>
                <c:pt idx="603">
                  <c:v>33.109200000000506</c:v>
                </c:pt>
                <c:pt idx="604">
                  <c:v>33.109300000000509</c:v>
                </c:pt>
                <c:pt idx="605">
                  <c:v>33.109400000000512</c:v>
                </c:pt>
                <c:pt idx="606">
                  <c:v>33.109500000000516</c:v>
                </c:pt>
                <c:pt idx="607">
                  <c:v>33.109600000000519</c:v>
                </c:pt>
                <c:pt idx="608">
                  <c:v>33.109700000000522</c:v>
                </c:pt>
                <c:pt idx="609">
                  <c:v>33.109800000000526</c:v>
                </c:pt>
                <c:pt idx="610">
                  <c:v>33.109900000000529</c:v>
                </c:pt>
                <c:pt idx="611">
                  <c:v>33.110000000000532</c:v>
                </c:pt>
                <c:pt idx="612">
                  <c:v>33.110100000000536</c:v>
                </c:pt>
                <c:pt idx="613">
                  <c:v>33.110200000000539</c:v>
                </c:pt>
                <c:pt idx="614">
                  <c:v>33.110300000000542</c:v>
                </c:pt>
                <c:pt idx="615">
                  <c:v>33.110400000000546</c:v>
                </c:pt>
                <c:pt idx="616">
                  <c:v>33.110500000000549</c:v>
                </c:pt>
                <c:pt idx="617">
                  <c:v>33.110600000000552</c:v>
                </c:pt>
                <c:pt idx="618">
                  <c:v>33.110700000000556</c:v>
                </c:pt>
                <c:pt idx="619">
                  <c:v>33.110800000000559</c:v>
                </c:pt>
                <c:pt idx="620">
                  <c:v>33.110900000000562</c:v>
                </c:pt>
                <c:pt idx="621">
                  <c:v>33.111000000000566</c:v>
                </c:pt>
                <c:pt idx="622">
                  <c:v>33.111100000000569</c:v>
                </c:pt>
                <c:pt idx="623">
                  <c:v>33.111200000000572</c:v>
                </c:pt>
                <c:pt idx="624">
                  <c:v>33.111300000000575</c:v>
                </c:pt>
                <c:pt idx="625">
                  <c:v>33.111400000000579</c:v>
                </c:pt>
                <c:pt idx="626">
                  <c:v>33.111500000000582</c:v>
                </c:pt>
                <c:pt idx="627">
                  <c:v>33.111600000000585</c:v>
                </c:pt>
                <c:pt idx="628">
                  <c:v>33.111700000000589</c:v>
                </c:pt>
                <c:pt idx="629">
                  <c:v>33.111800000000592</c:v>
                </c:pt>
                <c:pt idx="630">
                  <c:v>33.111900000000595</c:v>
                </c:pt>
                <c:pt idx="631">
                  <c:v>33.112000000000599</c:v>
                </c:pt>
                <c:pt idx="632">
                  <c:v>33.112100000000602</c:v>
                </c:pt>
                <c:pt idx="633">
                  <c:v>33.112200000000605</c:v>
                </c:pt>
                <c:pt idx="634">
                  <c:v>33.112300000000609</c:v>
                </c:pt>
                <c:pt idx="635">
                  <c:v>33.112400000000612</c:v>
                </c:pt>
                <c:pt idx="636">
                  <c:v>33.112500000000615</c:v>
                </c:pt>
                <c:pt idx="637">
                  <c:v>33.112600000000619</c:v>
                </c:pt>
                <c:pt idx="638">
                  <c:v>33.112700000000622</c:v>
                </c:pt>
                <c:pt idx="639">
                  <c:v>33.112800000000625</c:v>
                </c:pt>
                <c:pt idx="640">
                  <c:v>33.112900000000629</c:v>
                </c:pt>
                <c:pt idx="641">
                  <c:v>33.113000000000632</c:v>
                </c:pt>
                <c:pt idx="642">
                  <c:v>33.113100000000635</c:v>
                </c:pt>
                <c:pt idx="643">
                  <c:v>33.113200000000639</c:v>
                </c:pt>
                <c:pt idx="644">
                  <c:v>33.113300000000642</c:v>
                </c:pt>
                <c:pt idx="645">
                  <c:v>33.113400000000645</c:v>
                </c:pt>
                <c:pt idx="646">
                  <c:v>33.113500000000649</c:v>
                </c:pt>
                <c:pt idx="647">
                  <c:v>33.113600000000652</c:v>
                </c:pt>
                <c:pt idx="648">
                  <c:v>33.113700000000655</c:v>
                </c:pt>
                <c:pt idx="649">
                  <c:v>33.113800000000658</c:v>
                </c:pt>
                <c:pt idx="650">
                  <c:v>33.113900000000662</c:v>
                </c:pt>
                <c:pt idx="651">
                  <c:v>33.114000000000665</c:v>
                </c:pt>
                <c:pt idx="652">
                  <c:v>33.114100000000668</c:v>
                </c:pt>
                <c:pt idx="653">
                  <c:v>33.114200000000672</c:v>
                </c:pt>
                <c:pt idx="654">
                  <c:v>33.114300000000675</c:v>
                </c:pt>
                <c:pt idx="655">
                  <c:v>33.114400000000678</c:v>
                </c:pt>
                <c:pt idx="656">
                  <c:v>33.114500000000682</c:v>
                </c:pt>
                <c:pt idx="657">
                  <c:v>33.114600000000685</c:v>
                </c:pt>
                <c:pt idx="658">
                  <c:v>33.114700000000688</c:v>
                </c:pt>
                <c:pt idx="659">
                  <c:v>33.114800000000692</c:v>
                </c:pt>
                <c:pt idx="660">
                  <c:v>33.114900000000695</c:v>
                </c:pt>
                <c:pt idx="661">
                  <c:v>33.115000000000698</c:v>
                </c:pt>
                <c:pt idx="662">
                  <c:v>33.115100000000702</c:v>
                </c:pt>
                <c:pt idx="663">
                  <c:v>33.115200000000705</c:v>
                </c:pt>
                <c:pt idx="664">
                  <c:v>33.115300000000708</c:v>
                </c:pt>
                <c:pt idx="665">
                  <c:v>33.115400000000712</c:v>
                </c:pt>
                <c:pt idx="666">
                  <c:v>33.115500000000715</c:v>
                </c:pt>
                <c:pt idx="667">
                  <c:v>33.115600000000718</c:v>
                </c:pt>
                <c:pt idx="668">
                  <c:v>33.115700000000722</c:v>
                </c:pt>
                <c:pt idx="669">
                  <c:v>33.115800000000725</c:v>
                </c:pt>
                <c:pt idx="670">
                  <c:v>33.115900000000728</c:v>
                </c:pt>
                <c:pt idx="671">
                  <c:v>33.116000000000732</c:v>
                </c:pt>
                <c:pt idx="672">
                  <c:v>33.116100000000735</c:v>
                </c:pt>
                <c:pt idx="673">
                  <c:v>33.116200000000738</c:v>
                </c:pt>
                <c:pt idx="674">
                  <c:v>33.116300000000741</c:v>
                </c:pt>
                <c:pt idx="675">
                  <c:v>33.116400000000745</c:v>
                </c:pt>
                <c:pt idx="676">
                  <c:v>33.116500000000748</c:v>
                </c:pt>
                <c:pt idx="677">
                  <c:v>33.116600000000751</c:v>
                </c:pt>
                <c:pt idx="678">
                  <c:v>33.116700000000755</c:v>
                </c:pt>
                <c:pt idx="679">
                  <c:v>33.116800000000758</c:v>
                </c:pt>
                <c:pt idx="680">
                  <c:v>33.116900000000761</c:v>
                </c:pt>
                <c:pt idx="681">
                  <c:v>33.117000000000765</c:v>
                </c:pt>
                <c:pt idx="682">
                  <c:v>33.117100000000768</c:v>
                </c:pt>
                <c:pt idx="683">
                  <c:v>33.117200000000771</c:v>
                </c:pt>
                <c:pt idx="684">
                  <c:v>33.117300000000775</c:v>
                </c:pt>
                <c:pt idx="685">
                  <c:v>33.117400000000778</c:v>
                </c:pt>
                <c:pt idx="686">
                  <c:v>33.117500000000781</c:v>
                </c:pt>
                <c:pt idx="687">
                  <c:v>33.117600000000785</c:v>
                </c:pt>
                <c:pt idx="688">
                  <c:v>33.117700000000788</c:v>
                </c:pt>
                <c:pt idx="689">
                  <c:v>33.117800000000791</c:v>
                </c:pt>
                <c:pt idx="690">
                  <c:v>33.117900000000795</c:v>
                </c:pt>
                <c:pt idx="691">
                  <c:v>33.118000000000798</c:v>
                </c:pt>
                <c:pt idx="692">
                  <c:v>33.118100000000801</c:v>
                </c:pt>
                <c:pt idx="693">
                  <c:v>33.118200000000805</c:v>
                </c:pt>
                <c:pt idx="694">
                  <c:v>33.118300000000808</c:v>
                </c:pt>
                <c:pt idx="695">
                  <c:v>33.118400000000811</c:v>
                </c:pt>
                <c:pt idx="696">
                  <c:v>33.118500000000815</c:v>
                </c:pt>
                <c:pt idx="697">
                  <c:v>33.118600000000818</c:v>
                </c:pt>
                <c:pt idx="698">
                  <c:v>33.118700000000821</c:v>
                </c:pt>
                <c:pt idx="699">
                  <c:v>33.118800000000824</c:v>
                </c:pt>
                <c:pt idx="700">
                  <c:v>33.118900000000828</c:v>
                </c:pt>
                <c:pt idx="701">
                  <c:v>33.119000000000831</c:v>
                </c:pt>
                <c:pt idx="702">
                  <c:v>33.119100000000834</c:v>
                </c:pt>
                <c:pt idx="703">
                  <c:v>33.119200000000838</c:v>
                </c:pt>
                <c:pt idx="704">
                  <c:v>33.119300000000841</c:v>
                </c:pt>
                <c:pt idx="705">
                  <c:v>33.119400000000844</c:v>
                </c:pt>
                <c:pt idx="706">
                  <c:v>33.119500000000848</c:v>
                </c:pt>
                <c:pt idx="707">
                  <c:v>33.119600000000851</c:v>
                </c:pt>
                <c:pt idx="708">
                  <c:v>33.119700000000854</c:v>
                </c:pt>
                <c:pt idx="709">
                  <c:v>33.119800000000858</c:v>
                </c:pt>
                <c:pt idx="710">
                  <c:v>33.119900000000861</c:v>
                </c:pt>
                <c:pt idx="711">
                  <c:v>33.120000000000864</c:v>
                </c:pt>
                <c:pt idx="712">
                  <c:v>33.120100000000868</c:v>
                </c:pt>
                <c:pt idx="713">
                  <c:v>33.120200000000871</c:v>
                </c:pt>
                <c:pt idx="714">
                  <c:v>33.120300000000874</c:v>
                </c:pt>
                <c:pt idx="715">
                  <c:v>33.120400000000878</c:v>
                </c:pt>
                <c:pt idx="716">
                  <c:v>33.120500000000881</c:v>
                </c:pt>
                <c:pt idx="717">
                  <c:v>33.120600000000884</c:v>
                </c:pt>
                <c:pt idx="718">
                  <c:v>33.120700000000888</c:v>
                </c:pt>
                <c:pt idx="719">
                  <c:v>33.120800000000891</c:v>
                </c:pt>
                <c:pt idx="720">
                  <c:v>33.120900000000894</c:v>
                </c:pt>
                <c:pt idx="721">
                  <c:v>33.121000000000898</c:v>
                </c:pt>
                <c:pt idx="722">
                  <c:v>33.121100000000901</c:v>
                </c:pt>
                <c:pt idx="723">
                  <c:v>33.121200000000904</c:v>
                </c:pt>
                <c:pt idx="724">
                  <c:v>33.121300000000907</c:v>
                </c:pt>
                <c:pt idx="725">
                  <c:v>33.121400000000911</c:v>
                </c:pt>
                <c:pt idx="726">
                  <c:v>33.121500000000914</c:v>
                </c:pt>
                <c:pt idx="727">
                  <c:v>33.121600000000917</c:v>
                </c:pt>
                <c:pt idx="728">
                  <c:v>33.121700000000921</c:v>
                </c:pt>
                <c:pt idx="729">
                  <c:v>33.121800000000924</c:v>
                </c:pt>
                <c:pt idx="730">
                  <c:v>33.121900000000927</c:v>
                </c:pt>
                <c:pt idx="731">
                  <c:v>33.122000000000931</c:v>
                </c:pt>
                <c:pt idx="732">
                  <c:v>33.122100000000934</c:v>
                </c:pt>
                <c:pt idx="733">
                  <c:v>33.122200000000937</c:v>
                </c:pt>
                <c:pt idx="734">
                  <c:v>33.122300000000941</c:v>
                </c:pt>
                <c:pt idx="735">
                  <c:v>33.122400000000944</c:v>
                </c:pt>
                <c:pt idx="736">
                  <c:v>33.122500000000947</c:v>
                </c:pt>
                <c:pt idx="737">
                  <c:v>33.122600000000951</c:v>
                </c:pt>
                <c:pt idx="738">
                  <c:v>33.122700000000954</c:v>
                </c:pt>
                <c:pt idx="739">
                  <c:v>33.122800000000957</c:v>
                </c:pt>
                <c:pt idx="740">
                  <c:v>33.122900000000961</c:v>
                </c:pt>
                <c:pt idx="741">
                  <c:v>33.123000000000964</c:v>
                </c:pt>
                <c:pt idx="742">
                  <c:v>33.123100000000967</c:v>
                </c:pt>
                <c:pt idx="743">
                  <c:v>33.123200000000971</c:v>
                </c:pt>
                <c:pt idx="744">
                  <c:v>33.123300000000974</c:v>
                </c:pt>
                <c:pt idx="745">
                  <c:v>33.123400000000977</c:v>
                </c:pt>
                <c:pt idx="746">
                  <c:v>33.12350000000098</c:v>
                </c:pt>
                <c:pt idx="747">
                  <c:v>33.123600000000984</c:v>
                </c:pt>
                <c:pt idx="748">
                  <c:v>33.123700000000987</c:v>
                </c:pt>
                <c:pt idx="749">
                  <c:v>33.12380000000099</c:v>
                </c:pt>
                <c:pt idx="750">
                  <c:v>33.123900000000994</c:v>
                </c:pt>
                <c:pt idx="751">
                  <c:v>33.124000000000997</c:v>
                </c:pt>
                <c:pt idx="752">
                  <c:v>33.124100000001</c:v>
                </c:pt>
                <c:pt idx="753">
                  <c:v>33.124200000001004</c:v>
                </c:pt>
                <c:pt idx="754">
                  <c:v>33.124300000001007</c:v>
                </c:pt>
                <c:pt idx="755">
                  <c:v>33.12440000000101</c:v>
                </c:pt>
                <c:pt idx="756">
                  <c:v>33.124500000001014</c:v>
                </c:pt>
                <c:pt idx="757">
                  <c:v>33.124600000001017</c:v>
                </c:pt>
                <c:pt idx="758">
                  <c:v>33.12470000000102</c:v>
                </c:pt>
                <c:pt idx="759">
                  <c:v>33.124800000001024</c:v>
                </c:pt>
                <c:pt idx="760">
                  <c:v>33.124900000001027</c:v>
                </c:pt>
                <c:pt idx="761">
                  <c:v>33.12500000000103</c:v>
                </c:pt>
                <c:pt idx="762">
                  <c:v>33.125100000001034</c:v>
                </c:pt>
                <c:pt idx="763">
                  <c:v>33.125200000001037</c:v>
                </c:pt>
                <c:pt idx="764">
                  <c:v>33.12530000000104</c:v>
                </c:pt>
                <c:pt idx="765">
                  <c:v>33.125400000001044</c:v>
                </c:pt>
                <c:pt idx="766">
                  <c:v>33.125500000001047</c:v>
                </c:pt>
                <c:pt idx="767">
                  <c:v>33.12560000000105</c:v>
                </c:pt>
                <c:pt idx="768">
                  <c:v>33.125700000001054</c:v>
                </c:pt>
                <c:pt idx="769">
                  <c:v>33.125800000001057</c:v>
                </c:pt>
                <c:pt idx="770">
                  <c:v>33.12590000000106</c:v>
                </c:pt>
                <c:pt idx="771">
                  <c:v>33.126000000001063</c:v>
                </c:pt>
                <c:pt idx="772">
                  <c:v>33.126100000001067</c:v>
                </c:pt>
                <c:pt idx="773">
                  <c:v>33.12620000000107</c:v>
                </c:pt>
                <c:pt idx="774">
                  <c:v>33.126300000001073</c:v>
                </c:pt>
                <c:pt idx="775">
                  <c:v>33.126400000001077</c:v>
                </c:pt>
                <c:pt idx="776">
                  <c:v>33.12650000000108</c:v>
                </c:pt>
                <c:pt idx="777">
                  <c:v>33.126600000001083</c:v>
                </c:pt>
                <c:pt idx="778">
                  <c:v>33.126700000001087</c:v>
                </c:pt>
                <c:pt idx="779">
                  <c:v>33.12680000000109</c:v>
                </c:pt>
                <c:pt idx="780">
                  <c:v>33.126900000001093</c:v>
                </c:pt>
                <c:pt idx="781">
                  <c:v>33.127000000001097</c:v>
                </c:pt>
                <c:pt idx="782">
                  <c:v>33.1271000000011</c:v>
                </c:pt>
                <c:pt idx="783">
                  <c:v>33.127200000001103</c:v>
                </c:pt>
                <c:pt idx="784">
                  <c:v>33.127300000001107</c:v>
                </c:pt>
                <c:pt idx="785">
                  <c:v>33.12740000000111</c:v>
                </c:pt>
                <c:pt idx="786">
                  <c:v>33.127500000001113</c:v>
                </c:pt>
                <c:pt idx="787">
                  <c:v>33.127600000001117</c:v>
                </c:pt>
                <c:pt idx="788">
                  <c:v>33.12770000000112</c:v>
                </c:pt>
                <c:pt idx="789">
                  <c:v>33.127800000001123</c:v>
                </c:pt>
                <c:pt idx="790">
                  <c:v>33.127900000001127</c:v>
                </c:pt>
                <c:pt idx="791">
                  <c:v>33.12800000000113</c:v>
                </c:pt>
                <c:pt idx="792">
                  <c:v>33.128100000001133</c:v>
                </c:pt>
                <c:pt idx="793">
                  <c:v>33.128200000001137</c:v>
                </c:pt>
                <c:pt idx="794">
                  <c:v>33.12830000000114</c:v>
                </c:pt>
                <c:pt idx="795">
                  <c:v>33.128400000001143</c:v>
                </c:pt>
                <c:pt idx="796">
                  <c:v>33.128500000001146</c:v>
                </c:pt>
                <c:pt idx="797">
                  <c:v>33.12860000000115</c:v>
                </c:pt>
                <c:pt idx="798">
                  <c:v>33.128700000001153</c:v>
                </c:pt>
                <c:pt idx="799">
                  <c:v>33.128800000001156</c:v>
                </c:pt>
                <c:pt idx="800">
                  <c:v>33.12890000000116</c:v>
                </c:pt>
                <c:pt idx="801">
                  <c:v>33.129000000001163</c:v>
                </c:pt>
                <c:pt idx="802">
                  <c:v>33.129100000001166</c:v>
                </c:pt>
                <c:pt idx="803">
                  <c:v>33.12920000000117</c:v>
                </c:pt>
                <c:pt idx="804">
                  <c:v>33.129300000001173</c:v>
                </c:pt>
                <c:pt idx="805">
                  <c:v>33.129400000001176</c:v>
                </c:pt>
                <c:pt idx="806">
                  <c:v>33.12950000000118</c:v>
                </c:pt>
                <c:pt idx="807">
                  <c:v>33.129600000001183</c:v>
                </c:pt>
                <c:pt idx="808">
                  <c:v>33.129700000001186</c:v>
                </c:pt>
                <c:pt idx="809">
                  <c:v>33.12980000000119</c:v>
                </c:pt>
                <c:pt idx="810">
                  <c:v>33.129900000001193</c:v>
                </c:pt>
                <c:pt idx="811">
                  <c:v>33.130000000001196</c:v>
                </c:pt>
                <c:pt idx="812">
                  <c:v>33.1301000000012</c:v>
                </c:pt>
                <c:pt idx="813">
                  <c:v>33.130200000001203</c:v>
                </c:pt>
                <c:pt idx="814">
                  <c:v>33.130300000001206</c:v>
                </c:pt>
                <c:pt idx="815">
                  <c:v>33.13040000000121</c:v>
                </c:pt>
                <c:pt idx="816">
                  <c:v>33.130500000001213</c:v>
                </c:pt>
                <c:pt idx="817">
                  <c:v>33.130600000001216</c:v>
                </c:pt>
                <c:pt idx="818">
                  <c:v>33.13070000000122</c:v>
                </c:pt>
                <c:pt idx="819">
                  <c:v>33.130800000001223</c:v>
                </c:pt>
                <c:pt idx="820">
                  <c:v>33.130900000001226</c:v>
                </c:pt>
                <c:pt idx="821">
                  <c:v>33.131000000001229</c:v>
                </c:pt>
                <c:pt idx="822">
                  <c:v>33.131100000001233</c:v>
                </c:pt>
                <c:pt idx="823">
                  <c:v>33.131200000001236</c:v>
                </c:pt>
                <c:pt idx="824">
                  <c:v>33.131300000001239</c:v>
                </c:pt>
                <c:pt idx="825">
                  <c:v>33.131400000001243</c:v>
                </c:pt>
                <c:pt idx="826">
                  <c:v>33.131500000001246</c:v>
                </c:pt>
                <c:pt idx="827">
                  <c:v>33.131600000001249</c:v>
                </c:pt>
                <c:pt idx="828">
                  <c:v>33.131700000001253</c:v>
                </c:pt>
                <c:pt idx="829">
                  <c:v>33.131800000001256</c:v>
                </c:pt>
                <c:pt idx="830">
                  <c:v>33.131900000001259</c:v>
                </c:pt>
                <c:pt idx="831">
                  <c:v>33.132000000001263</c:v>
                </c:pt>
                <c:pt idx="832">
                  <c:v>33.132100000001266</c:v>
                </c:pt>
                <c:pt idx="833">
                  <c:v>33.132200000001269</c:v>
                </c:pt>
                <c:pt idx="834">
                  <c:v>33.132300000001273</c:v>
                </c:pt>
                <c:pt idx="835">
                  <c:v>33.132400000001276</c:v>
                </c:pt>
                <c:pt idx="836">
                  <c:v>33.132500000001279</c:v>
                </c:pt>
                <c:pt idx="837">
                  <c:v>33.132600000001283</c:v>
                </c:pt>
                <c:pt idx="838">
                  <c:v>33.132700000001286</c:v>
                </c:pt>
                <c:pt idx="839">
                  <c:v>33.132800000001289</c:v>
                </c:pt>
                <c:pt idx="840">
                  <c:v>33.132900000001293</c:v>
                </c:pt>
                <c:pt idx="841">
                  <c:v>33.133000000001296</c:v>
                </c:pt>
                <c:pt idx="842">
                  <c:v>33.133100000001299</c:v>
                </c:pt>
                <c:pt idx="843">
                  <c:v>33.133200000001302</c:v>
                </c:pt>
                <c:pt idx="844">
                  <c:v>33.133300000001306</c:v>
                </c:pt>
                <c:pt idx="845">
                  <c:v>33.133400000001309</c:v>
                </c:pt>
                <c:pt idx="846">
                  <c:v>33.133500000001312</c:v>
                </c:pt>
                <c:pt idx="847">
                  <c:v>33.133600000001316</c:v>
                </c:pt>
                <c:pt idx="848">
                  <c:v>33.133700000001319</c:v>
                </c:pt>
                <c:pt idx="849">
                  <c:v>33.133800000001322</c:v>
                </c:pt>
                <c:pt idx="850">
                  <c:v>33.133900000001326</c:v>
                </c:pt>
                <c:pt idx="851">
                  <c:v>33.134000000001329</c:v>
                </c:pt>
                <c:pt idx="852">
                  <c:v>33.134100000001332</c:v>
                </c:pt>
                <c:pt idx="853">
                  <c:v>33.134200000001336</c:v>
                </c:pt>
                <c:pt idx="854">
                  <c:v>33.134300000001339</c:v>
                </c:pt>
                <c:pt idx="855">
                  <c:v>33.134400000001342</c:v>
                </c:pt>
                <c:pt idx="856">
                  <c:v>33.134500000001346</c:v>
                </c:pt>
                <c:pt idx="857">
                  <c:v>33.134600000001349</c:v>
                </c:pt>
                <c:pt idx="858">
                  <c:v>33.134700000001352</c:v>
                </c:pt>
                <c:pt idx="859">
                  <c:v>33.134800000001356</c:v>
                </c:pt>
                <c:pt idx="860">
                  <c:v>33.134900000001359</c:v>
                </c:pt>
                <c:pt idx="861">
                  <c:v>33.135000000001362</c:v>
                </c:pt>
                <c:pt idx="862">
                  <c:v>33.135100000001366</c:v>
                </c:pt>
                <c:pt idx="863">
                  <c:v>33.135200000001369</c:v>
                </c:pt>
                <c:pt idx="864">
                  <c:v>33.135300000001372</c:v>
                </c:pt>
                <c:pt idx="865">
                  <c:v>33.135400000001376</c:v>
                </c:pt>
                <c:pt idx="866">
                  <c:v>33.135500000001379</c:v>
                </c:pt>
                <c:pt idx="867">
                  <c:v>33.135600000001382</c:v>
                </c:pt>
                <c:pt idx="868">
                  <c:v>33.135700000001385</c:v>
                </c:pt>
                <c:pt idx="869">
                  <c:v>33.135800000001389</c:v>
                </c:pt>
                <c:pt idx="870">
                  <c:v>33.135900000001392</c:v>
                </c:pt>
                <c:pt idx="871">
                  <c:v>33.136000000001395</c:v>
                </c:pt>
                <c:pt idx="872">
                  <c:v>33.136100000001399</c:v>
                </c:pt>
                <c:pt idx="873">
                  <c:v>33.136200000001402</c:v>
                </c:pt>
                <c:pt idx="874">
                  <c:v>33.136300000001405</c:v>
                </c:pt>
                <c:pt idx="875">
                  <c:v>33.136400000001409</c:v>
                </c:pt>
                <c:pt idx="876">
                  <c:v>33.136500000001412</c:v>
                </c:pt>
                <c:pt idx="877">
                  <c:v>33.136600000001415</c:v>
                </c:pt>
                <c:pt idx="878">
                  <c:v>33.136700000001419</c:v>
                </c:pt>
                <c:pt idx="879">
                  <c:v>33.136800000001422</c:v>
                </c:pt>
                <c:pt idx="880">
                  <c:v>33.136900000001425</c:v>
                </c:pt>
                <c:pt idx="881">
                  <c:v>33.137000000001429</c:v>
                </c:pt>
                <c:pt idx="882">
                  <c:v>33.137100000001432</c:v>
                </c:pt>
                <c:pt idx="883">
                  <c:v>33.137200000001435</c:v>
                </c:pt>
                <c:pt idx="884">
                  <c:v>33.137300000001439</c:v>
                </c:pt>
                <c:pt idx="885">
                  <c:v>33.137400000001442</c:v>
                </c:pt>
                <c:pt idx="886">
                  <c:v>33.137500000001445</c:v>
                </c:pt>
                <c:pt idx="887">
                  <c:v>33.137600000001449</c:v>
                </c:pt>
                <c:pt idx="888">
                  <c:v>33.137700000001452</c:v>
                </c:pt>
                <c:pt idx="889">
                  <c:v>33.137800000001455</c:v>
                </c:pt>
                <c:pt idx="890">
                  <c:v>33.137900000001459</c:v>
                </c:pt>
                <c:pt idx="891">
                  <c:v>33.138000000001462</c:v>
                </c:pt>
                <c:pt idx="892">
                  <c:v>33.138100000001465</c:v>
                </c:pt>
                <c:pt idx="893">
                  <c:v>33.138200000001468</c:v>
                </c:pt>
                <c:pt idx="894">
                  <c:v>33.138300000001472</c:v>
                </c:pt>
                <c:pt idx="895">
                  <c:v>33.138400000001475</c:v>
                </c:pt>
                <c:pt idx="896">
                  <c:v>33.138500000001478</c:v>
                </c:pt>
                <c:pt idx="897">
                  <c:v>33.138600000001482</c:v>
                </c:pt>
                <c:pt idx="898">
                  <c:v>33.138700000001485</c:v>
                </c:pt>
                <c:pt idx="899">
                  <c:v>33.138800000001488</c:v>
                </c:pt>
                <c:pt idx="900">
                  <c:v>33.138900000001492</c:v>
                </c:pt>
                <c:pt idx="901">
                  <c:v>33.139000000001495</c:v>
                </c:pt>
                <c:pt idx="902">
                  <c:v>33.139100000001498</c:v>
                </c:pt>
                <c:pt idx="903">
                  <c:v>33.139200000001502</c:v>
                </c:pt>
                <c:pt idx="904">
                  <c:v>33.139300000001505</c:v>
                </c:pt>
                <c:pt idx="905">
                  <c:v>33.139400000001508</c:v>
                </c:pt>
                <c:pt idx="906">
                  <c:v>33.139500000001512</c:v>
                </c:pt>
                <c:pt idx="907">
                  <c:v>33.139600000001515</c:v>
                </c:pt>
                <c:pt idx="908">
                  <c:v>33.139700000001518</c:v>
                </c:pt>
                <c:pt idx="909">
                  <c:v>33.139800000001522</c:v>
                </c:pt>
                <c:pt idx="910">
                  <c:v>33.139900000001525</c:v>
                </c:pt>
                <c:pt idx="911">
                  <c:v>33.140000000001528</c:v>
                </c:pt>
                <c:pt idx="912">
                  <c:v>33.140100000001532</c:v>
                </c:pt>
                <c:pt idx="913">
                  <c:v>33.140200000001535</c:v>
                </c:pt>
                <c:pt idx="914">
                  <c:v>33.140300000001538</c:v>
                </c:pt>
                <c:pt idx="915">
                  <c:v>33.140400000001542</c:v>
                </c:pt>
                <c:pt idx="916">
                  <c:v>33.140500000001545</c:v>
                </c:pt>
                <c:pt idx="917">
                  <c:v>33.140600000001548</c:v>
                </c:pt>
                <c:pt idx="918">
                  <c:v>33.140700000001551</c:v>
                </c:pt>
                <c:pt idx="919">
                  <c:v>33.140800000001555</c:v>
                </c:pt>
                <c:pt idx="920">
                  <c:v>33.140900000001558</c:v>
                </c:pt>
                <c:pt idx="921">
                  <c:v>33.141000000001561</c:v>
                </c:pt>
                <c:pt idx="922">
                  <c:v>33.141100000001565</c:v>
                </c:pt>
                <c:pt idx="923">
                  <c:v>33.141200000001568</c:v>
                </c:pt>
                <c:pt idx="924">
                  <c:v>33.141300000001571</c:v>
                </c:pt>
                <c:pt idx="925">
                  <c:v>33.141400000001575</c:v>
                </c:pt>
                <c:pt idx="926">
                  <c:v>33.141500000001578</c:v>
                </c:pt>
                <c:pt idx="927">
                  <c:v>33.141600000001581</c:v>
                </c:pt>
                <c:pt idx="928">
                  <c:v>33.141700000001585</c:v>
                </c:pt>
                <c:pt idx="929">
                  <c:v>33.141800000001588</c:v>
                </c:pt>
                <c:pt idx="930">
                  <c:v>33.141900000001591</c:v>
                </c:pt>
                <c:pt idx="931">
                  <c:v>33.142000000001595</c:v>
                </c:pt>
                <c:pt idx="932">
                  <c:v>33.142100000001598</c:v>
                </c:pt>
                <c:pt idx="933">
                  <c:v>33.142200000001601</c:v>
                </c:pt>
                <c:pt idx="934">
                  <c:v>33.142300000001605</c:v>
                </c:pt>
                <c:pt idx="935">
                  <c:v>33.142400000001608</c:v>
                </c:pt>
                <c:pt idx="936">
                  <c:v>33.142500000001611</c:v>
                </c:pt>
                <c:pt idx="937">
                  <c:v>33.142600000001615</c:v>
                </c:pt>
                <c:pt idx="938">
                  <c:v>33.142700000001618</c:v>
                </c:pt>
                <c:pt idx="939">
                  <c:v>33.142800000001621</c:v>
                </c:pt>
                <c:pt idx="940">
                  <c:v>33.142900000001625</c:v>
                </c:pt>
                <c:pt idx="941">
                  <c:v>33.143000000001628</c:v>
                </c:pt>
                <c:pt idx="942">
                  <c:v>33.143100000001631</c:v>
                </c:pt>
                <c:pt idx="943">
                  <c:v>33.143200000001634</c:v>
                </c:pt>
                <c:pt idx="944">
                  <c:v>33.143300000001638</c:v>
                </c:pt>
                <c:pt idx="945">
                  <c:v>33.143400000001641</c:v>
                </c:pt>
                <c:pt idx="946">
                  <c:v>33.143500000001644</c:v>
                </c:pt>
                <c:pt idx="947">
                  <c:v>33.143600000001648</c:v>
                </c:pt>
                <c:pt idx="948">
                  <c:v>33.143700000001651</c:v>
                </c:pt>
                <c:pt idx="949">
                  <c:v>33.143800000001654</c:v>
                </c:pt>
                <c:pt idx="950">
                  <c:v>33.143900000001658</c:v>
                </c:pt>
                <c:pt idx="951">
                  <c:v>33.144000000001661</c:v>
                </c:pt>
                <c:pt idx="952">
                  <c:v>33.144100000001664</c:v>
                </c:pt>
                <c:pt idx="953">
                  <c:v>33.144200000001668</c:v>
                </c:pt>
                <c:pt idx="954">
                  <c:v>33.144300000001671</c:v>
                </c:pt>
                <c:pt idx="955">
                  <c:v>33.144400000001674</c:v>
                </c:pt>
                <c:pt idx="956">
                  <c:v>33.144500000001678</c:v>
                </c:pt>
                <c:pt idx="957">
                  <c:v>33.144600000001681</c:v>
                </c:pt>
                <c:pt idx="958">
                  <c:v>33.144700000001684</c:v>
                </c:pt>
                <c:pt idx="959">
                  <c:v>33.144800000001688</c:v>
                </c:pt>
                <c:pt idx="960">
                  <c:v>33.144900000001691</c:v>
                </c:pt>
                <c:pt idx="961">
                  <c:v>33.145000000001694</c:v>
                </c:pt>
                <c:pt idx="962">
                  <c:v>33.145100000001698</c:v>
                </c:pt>
                <c:pt idx="963">
                  <c:v>33.145200000001701</c:v>
                </c:pt>
                <c:pt idx="964">
                  <c:v>33.145300000001704</c:v>
                </c:pt>
                <c:pt idx="965">
                  <c:v>33.145400000001707</c:v>
                </c:pt>
                <c:pt idx="966">
                  <c:v>33.145500000001711</c:v>
                </c:pt>
                <c:pt idx="967">
                  <c:v>33.145600000001714</c:v>
                </c:pt>
                <c:pt idx="968">
                  <c:v>33.145700000001717</c:v>
                </c:pt>
                <c:pt idx="969">
                  <c:v>33.145800000001721</c:v>
                </c:pt>
                <c:pt idx="970">
                  <c:v>33.145900000001724</c:v>
                </c:pt>
                <c:pt idx="971">
                  <c:v>33.146000000001727</c:v>
                </c:pt>
                <c:pt idx="972">
                  <c:v>33.146100000001731</c:v>
                </c:pt>
                <c:pt idx="973">
                  <c:v>33.146200000001734</c:v>
                </c:pt>
                <c:pt idx="974">
                  <c:v>33.146300000001737</c:v>
                </c:pt>
                <c:pt idx="975">
                  <c:v>33.146400000001741</c:v>
                </c:pt>
                <c:pt idx="976">
                  <c:v>33.146500000001744</c:v>
                </c:pt>
                <c:pt idx="977">
                  <c:v>33.146600000001747</c:v>
                </c:pt>
                <c:pt idx="978">
                  <c:v>33.146700000001751</c:v>
                </c:pt>
                <c:pt idx="979">
                  <c:v>33.146800000001754</c:v>
                </c:pt>
                <c:pt idx="980">
                  <c:v>33.146900000001757</c:v>
                </c:pt>
                <c:pt idx="981">
                  <c:v>33.147000000001761</c:v>
                </c:pt>
                <c:pt idx="982">
                  <c:v>33.147100000001764</c:v>
                </c:pt>
                <c:pt idx="983">
                  <c:v>33.147200000001767</c:v>
                </c:pt>
                <c:pt idx="984">
                  <c:v>33.147300000001771</c:v>
                </c:pt>
                <c:pt idx="985">
                  <c:v>33.147400000001774</c:v>
                </c:pt>
                <c:pt idx="986">
                  <c:v>33.147500000001777</c:v>
                </c:pt>
                <c:pt idx="987">
                  <c:v>33.147600000001781</c:v>
                </c:pt>
                <c:pt idx="988">
                  <c:v>33.147700000001784</c:v>
                </c:pt>
                <c:pt idx="989">
                  <c:v>33.147800000001787</c:v>
                </c:pt>
                <c:pt idx="990">
                  <c:v>33.14790000000179</c:v>
                </c:pt>
                <c:pt idx="991">
                  <c:v>33.148000000001794</c:v>
                </c:pt>
                <c:pt idx="992">
                  <c:v>33.148100000001797</c:v>
                </c:pt>
                <c:pt idx="993">
                  <c:v>33.1482000000018</c:v>
                </c:pt>
                <c:pt idx="994">
                  <c:v>33.148300000001804</c:v>
                </c:pt>
                <c:pt idx="995">
                  <c:v>33.148400000001807</c:v>
                </c:pt>
                <c:pt idx="996">
                  <c:v>33.14850000000181</c:v>
                </c:pt>
                <c:pt idx="997">
                  <c:v>33.148600000001814</c:v>
                </c:pt>
                <c:pt idx="998">
                  <c:v>33.148700000001817</c:v>
                </c:pt>
                <c:pt idx="999">
                  <c:v>33.14880000000182</c:v>
                </c:pt>
                <c:pt idx="1000">
                  <c:v>33.148900000001824</c:v>
                </c:pt>
              </c:numCache>
            </c:numRef>
          </c:xVal>
          <c:yVal>
            <c:numRef>
              <c:f>Calculs!$I$4:$I$1004</c:f>
              <c:numCache>
                <c:formatCode>0.00</c:formatCode>
                <c:ptCount val="1001"/>
                <c:pt idx="0">
                  <c:v>0</c:v>
                </c:pt>
                <c:pt idx="1">
                  <c:v>0.16163231842909978</c:v>
                </c:pt>
                <c:pt idx="2">
                  <c:v>1.0421734227890727</c:v>
                </c:pt>
                <c:pt idx="3">
                  <c:v>2.3607649221159419</c:v>
                </c:pt>
                <c:pt idx="4">
                  <c:v>3.6335312747070683</c:v>
                </c:pt>
                <c:pt idx="5">
                  <c:v>4.860367782240175</c:v>
                </c:pt>
                <c:pt idx="6">
                  <c:v>6.0691760066473339</c:v>
                </c:pt>
                <c:pt idx="7">
                  <c:v>7.2879298490997648</c:v>
                </c:pt>
                <c:pt idx="8">
                  <c:v>8.5166358731208671</c:v>
                </c:pt>
                <c:pt idx="9">
                  <c:v>9.7553004984482268</c:v>
                </c:pt>
                <c:pt idx="10">
                  <c:v>11.003929998306186</c:v>
                </c:pt>
                <c:pt idx="11">
                  <c:v>12.259624597173053</c:v>
                </c:pt>
                <c:pt idx="12">
                  <c:v>13.519476847184682</c:v>
                </c:pt>
                <c:pt idx="13">
                  <c:v>14.783481449335486</c:v>
                </c:pt>
                <c:pt idx="14">
                  <c:v>16.051632990043199</c:v>
                </c:pt>
                <c:pt idx="15">
                  <c:v>17.323925940709238</c:v>
                </c:pt>
                <c:pt idx="16">
                  <c:v>18.600354657285468</c:v>
                </c:pt>
                <c:pt idx="17">
                  <c:v>19.880913379847502</c:v>
                </c:pt>
                <c:pt idx="18">
                  <c:v>21.165596232174611</c:v>
                </c:pt>
                <c:pt idx="19">
                  <c:v>22.454397221336382</c:v>
                </c:pt>
                <c:pt idx="20">
                  <c:v>23.747310237286225</c:v>
                </c:pt>
                <c:pt idx="21">
                  <c:v>25.043163040314692</c:v>
                </c:pt>
                <c:pt idx="22">
                  <c:v>26.340780299551405</c:v>
                </c:pt>
                <c:pt idx="23">
                  <c:v>27.640151240239319</c:v>
                </c:pt>
                <c:pt idx="24">
                  <c:v>28.941265017104307</c:v>
                </c:pt>
                <c:pt idx="25">
                  <c:v>30.244110714636289</c:v>
                </c:pt>
                <c:pt idx="26">
                  <c:v>31.548677347376938</c:v>
                </c:pt>
                <c:pt idx="27">
                  <c:v>32.854953860214039</c:v>
                </c:pt>
                <c:pt idx="28">
                  <c:v>34.162933227505114</c:v>
                </c:pt>
                <c:pt idx="29">
                  <c:v>35.472608527591369</c:v>
                </c:pt>
                <c:pt idx="30">
                  <c:v>36.78396823622424</c:v>
                </c:pt>
                <c:pt idx="31">
                  <c:v>38.097000777106857</c:v>
                </c:pt>
                <c:pt idx="32">
                  <c:v>39.411694520606751</c:v>
                </c:pt>
                <c:pt idx="33">
                  <c:v>40.728037782723888</c:v>
                </c:pt>
                <c:pt idx="34">
                  <c:v>42.046018824229726</c:v>
                </c:pt>
                <c:pt idx="35">
                  <c:v>43.365625849953013</c:v>
                </c:pt>
                <c:pt idx="36">
                  <c:v>44.686847008192338</c:v>
                </c:pt>
                <c:pt idx="37">
                  <c:v>46.009670390238874</c:v>
                </c:pt>
                <c:pt idx="38">
                  <c:v>47.334084029995289</c:v>
                </c:pt>
                <c:pt idx="39">
                  <c:v>48.660075903679108</c:v>
                </c:pt>
                <c:pt idx="40">
                  <c:v>49.98763392960052</c:v>
                </c:pt>
                <c:pt idx="41">
                  <c:v>51.315838290241814</c:v>
                </c:pt>
                <c:pt idx="42">
                  <c:v>52.643766931963171</c:v>
                </c:pt>
                <c:pt idx="43">
                  <c:v>53.97140455863542</c:v>
                </c:pt>
                <c:pt idx="44">
                  <c:v>55.298735868240961</c:v>
                </c:pt>
                <c:pt idx="45">
                  <c:v>56.625745553257175</c:v>
                </c:pt>
                <c:pt idx="46">
                  <c:v>57.952418301076783</c:v>
                </c:pt>
                <c:pt idx="47">
                  <c:v>59.278738794461269</c:v>
                </c:pt>
                <c:pt idx="48">
                  <c:v>60.604691712023936</c:v>
                </c:pt>
                <c:pt idx="49">
                  <c:v>61.930261728739559</c:v>
                </c:pt>
                <c:pt idx="50">
                  <c:v>63.255433516478064</c:v>
                </c:pt>
                <c:pt idx="51">
                  <c:v>64.580191744559755</c:v>
                </c:pt>
                <c:pt idx="52">
                  <c:v>65.904521080330213</c:v>
                </c:pt>
                <c:pt idx="53">
                  <c:v>67.228406189752917</c:v>
                </c:pt>
                <c:pt idx="54">
                  <c:v>68.551831738017995</c:v>
                </c:pt>
                <c:pt idx="55">
                  <c:v>69.87478239016562</c:v>
                </c:pt>
                <c:pt idx="56">
                  <c:v>71.197242811722774</c:v>
                </c:pt>
                <c:pt idx="57">
                  <c:v>72.519197669352224</c:v>
                </c:pt>
                <c:pt idx="58">
                  <c:v>73.840631631512565</c:v>
                </c:pt>
                <c:pt idx="59">
                  <c:v>75.16152936912853</c:v>
                </c:pt>
                <c:pt idx="60">
                  <c:v>76.481875556270495</c:v>
                </c:pt>
                <c:pt idx="61">
                  <c:v>77.801654870842569</c:v>
                </c:pt>
                <c:pt idx="62">
                  <c:v>79.120851995278414</c:v>
                </c:pt>
                <c:pt idx="63">
                  <c:v>80.439451617244288</c:v>
                </c:pt>
                <c:pt idx="64">
                  <c:v>81.757438430348543</c:v>
                </c:pt>
                <c:pt idx="65">
                  <c:v>83.074797134857022</c:v>
                </c:pt>
                <c:pt idx="66">
                  <c:v>84.391512438414168</c:v>
                </c:pt>
                <c:pt idx="67">
                  <c:v>85.707569056768833</c:v>
                </c:pt>
                <c:pt idx="68">
                  <c:v>87.022951714504813</c:v>
                </c:pt>
                <c:pt idx="69">
                  <c:v>88.337645145775411</c:v>
                </c:pt>
                <c:pt idx="70">
                  <c:v>89.651634095041842</c:v>
                </c:pt>
                <c:pt idx="71">
                  <c:v>90.964903317815015</c:v>
                </c:pt>
                <c:pt idx="72">
                  <c:v>92.277437581400321</c:v>
                </c:pt>
                <c:pt idx="73">
                  <c:v>93.589221665645269</c:v>
                </c:pt>
                <c:pt idx="74">
                  <c:v>94.900240363689463</c:v>
                </c:pt>
                <c:pt idx="75">
                  <c:v>96.210478482716908</c:v>
                </c:pt>
                <c:pt idx="76">
                  <c:v>97.519920844710072</c:v>
                </c:pt>
                <c:pt idx="77">
                  <c:v>98.828552287205724</c:v>
                </c:pt>
                <c:pt idx="78">
                  <c:v>100.13635766405217</c:v>
                </c:pt>
                <c:pt idx="79">
                  <c:v>101.44332184616771</c:v>
                </c:pt>
                <c:pt idx="80">
                  <c:v>102.74942972229998</c:v>
                </c:pt>
                <c:pt idx="81">
                  <c:v>104.05374329272102</c:v>
                </c:pt>
                <c:pt idx="82">
                  <c:v>105.35532278500895</c:v>
                </c:pt>
                <c:pt idx="83">
                  <c:v>106.65415091537103</c:v>
                </c:pt>
                <c:pt idx="84">
                  <c:v>107.95021048780903</c:v>
                </c:pt>
                <c:pt idx="85">
                  <c:v>109.24348439498208</c:v>
                </c:pt>
                <c:pt idx="86">
                  <c:v>110.53395561906146</c:v>
                </c:pt>
                <c:pt idx="87">
                  <c:v>111.82160723257718</c:v>
                </c:pt>
                <c:pt idx="88">
                  <c:v>113.10642239925599</c:v>
                </c:pt>
                <c:pt idx="89">
                  <c:v>114.3883843748508</c:v>
                </c:pt>
                <c:pt idx="90">
                  <c:v>115.66747650796123</c:v>
                </c:pt>
                <c:pt idx="91">
                  <c:v>116.94327431511289</c:v>
                </c:pt>
                <c:pt idx="92">
                  <c:v>118.21535267952494</c:v>
                </c:pt>
                <c:pt idx="93">
                  <c:v>119.48369437048629</c:v>
                </c:pt>
                <c:pt idx="94">
                  <c:v>120.74828228602455</c:v>
                </c:pt>
                <c:pt idx="95">
                  <c:v>122.00909945365966</c:v>
                </c:pt>
                <c:pt idx="96">
                  <c:v>123.26612903114329</c:v>
                </c:pt>
                <c:pt idx="97">
                  <c:v>124.51935430718422</c:v>
                </c:pt>
                <c:pt idx="98">
                  <c:v>125.76875870215939</c:v>
                </c:pt>
                <c:pt idx="99">
                  <c:v>127.01432576881064</c:v>
                </c:pt>
                <c:pt idx="100">
                  <c:v>128.25603919292695</c:v>
                </c:pt>
                <c:pt idx="101">
                  <c:v>129.49381752199122</c:v>
                </c:pt>
                <c:pt idx="102">
                  <c:v>130.72757933248093</c:v>
                </c:pt>
                <c:pt idx="103">
                  <c:v>131.95730859583745</c:v>
                </c:pt>
                <c:pt idx="104">
                  <c:v>133.18298942450127</c:v>
                </c:pt>
                <c:pt idx="105">
                  <c:v>134.40460607251097</c:v>
                </c:pt>
                <c:pt idx="106">
                  <c:v>135.62214293608611</c:v>
                </c:pt>
                <c:pt idx="107">
                  <c:v>136.83558455419501</c:v>
                </c:pt>
                <c:pt idx="108">
                  <c:v>138.0449156091062</c:v>
                </c:pt>
                <c:pt idx="109">
                  <c:v>139.25012092692441</c:v>
                </c:pt>
                <c:pt idx="110">
                  <c:v>140.45118547811069</c:v>
                </c:pt>
                <c:pt idx="111">
                  <c:v>141.64884616627185</c:v>
                </c:pt>
                <c:pt idx="112">
                  <c:v>142.84384112896331</c:v>
                </c:pt>
                <c:pt idx="113">
                  <c:v>144.03615689626693</c:v>
                </c:pt>
                <c:pt idx="114">
                  <c:v>145.2257800864061</c:v>
                </c:pt>
                <c:pt idx="115">
                  <c:v>146.41269740630187</c:v>
                </c:pt>
                <c:pt idx="116">
                  <c:v>147.59689565212025</c:v>
                </c:pt>
                <c:pt idx="117">
                  <c:v>148.77836170981075</c:v>
                </c:pt>
                <c:pt idx="118">
                  <c:v>149.95708255563608</c:v>
                </c:pt>
                <c:pt idx="119">
                  <c:v>151.13304525669312</c:v>
                </c:pt>
                <c:pt idx="120">
                  <c:v>152.30623697142491</c:v>
                </c:pt>
                <c:pt idx="121">
                  <c:v>153.47539758469406</c:v>
                </c:pt>
                <c:pt idx="122">
                  <c:v>154.63926544389236</c:v>
                </c:pt>
                <c:pt idx="123">
                  <c:v>155.79782645908406</c:v>
                </c:pt>
                <c:pt idx="124">
                  <c:v>156.95106673298716</c:v>
                </c:pt>
                <c:pt idx="125">
                  <c:v>158.09897256113075</c:v>
                </c:pt>
                <c:pt idx="126">
                  <c:v>159.24153043199095</c:v>
                </c:pt>
                <c:pt idx="127">
                  <c:v>160.3787270271051</c:v>
                </c:pt>
                <c:pt idx="128">
                  <c:v>161.51054922116438</c:v>
                </c:pt>
                <c:pt idx="129">
                  <c:v>162.63698408208498</c:v>
                </c:pt>
                <c:pt idx="130">
                  <c:v>163.75801887105757</c:v>
                </c:pt>
                <c:pt idx="131">
                  <c:v>164.87331436925675</c:v>
                </c:pt>
                <c:pt idx="132">
                  <c:v>165.98253118764819</c:v>
                </c:pt>
                <c:pt idx="133">
                  <c:v>167.08565688302059</c:v>
                </c:pt>
                <c:pt idx="134">
                  <c:v>168.18267923378707</c:v>
                </c:pt>
                <c:pt idx="135">
                  <c:v>169.27358623978023</c:v>
                </c:pt>
                <c:pt idx="136">
                  <c:v>170.35836612202266</c:v>
                </c:pt>
                <c:pt idx="137">
                  <c:v>171.43700732247288</c:v>
                </c:pt>
                <c:pt idx="138">
                  <c:v>172.50949850374755</c:v>
                </c:pt>
                <c:pt idx="139">
                  <c:v>173.57582854881949</c:v>
                </c:pt>
                <c:pt idx="140">
                  <c:v>174.63598656069192</c:v>
                </c:pt>
                <c:pt idx="141">
                  <c:v>175.68605468593847</c:v>
                </c:pt>
                <c:pt idx="142">
                  <c:v>176.72211178565308</c:v>
                </c:pt>
                <c:pt idx="143">
                  <c:v>177.7441457594831</c:v>
                </c:pt>
                <c:pt idx="144">
                  <c:v>178.75214515028588</c:v>
                </c:pt>
                <c:pt idx="145">
                  <c:v>179.74609914002249</c:v>
                </c:pt>
                <c:pt idx="146">
                  <c:v>180.72599754556484</c:v>
                </c:pt>
                <c:pt idx="147">
                  <c:v>181.69183081441793</c:v>
                </c:pt>
                <c:pt idx="148">
                  <c:v>182.64359002035891</c:v>
                </c:pt>
                <c:pt idx="149">
                  <c:v>183.58126685899512</c:v>
                </c:pt>
                <c:pt idx="150">
                  <c:v>184.50485364324246</c:v>
                </c:pt>
                <c:pt idx="151">
                  <c:v>185.41434329872655</c:v>
                </c:pt>
                <c:pt idx="152">
                  <c:v>186.30972935910819</c:v>
                </c:pt>
                <c:pt idx="153">
                  <c:v>187.19100596133487</c:v>
                </c:pt>
                <c:pt idx="154">
                  <c:v>188.05816784082066</c:v>
                </c:pt>
                <c:pt idx="155">
                  <c:v>188.9112103265559</c:v>
                </c:pt>
                <c:pt idx="156">
                  <c:v>189.73161820379164</c:v>
                </c:pt>
                <c:pt idx="157">
                  <c:v>190.50087156557188</c:v>
                </c:pt>
                <c:pt idx="158">
                  <c:v>191.21897858237358</c:v>
                </c:pt>
                <c:pt idx="159">
                  <c:v>191.88595219944557</c:v>
                </c:pt>
                <c:pt idx="160">
                  <c:v>192.50181006576926</c:v>
                </c:pt>
                <c:pt idx="161">
                  <c:v>193.04303828126331</c:v>
                </c:pt>
                <c:pt idx="162">
                  <c:v>193.48613752167518</c:v>
                </c:pt>
                <c:pt idx="163">
                  <c:v>193.83342629935183</c:v>
                </c:pt>
                <c:pt idx="164">
                  <c:v>194.08723615557662</c:v>
                </c:pt>
                <c:pt idx="165">
                  <c:v>194.27014969249663</c:v>
                </c:pt>
                <c:pt idx="166">
                  <c:v>194.40473643339553</c:v>
                </c:pt>
                <c:pt idx="167">
                  <c:v>194.47396094036492</c:v>
                </c:pt>
                <c:pt idx="168">
                  <c:v>194.47318184189223</c:v>
                </c:pt>
                <c:pt idx="169">
                  <c:v>194.36719533487371</c:v>
                </c:pt>
                <c:pt idx="170">
                  <c:v>194.1456031392255</c:v>
                </c:pt>
                <c:pt idx="171">
                  <c:v>193.88506310382232</c:v>
                </c:pt>
                <c:pt idx="172">
                  <c:v>193.62499721518142</c:v>
                </c:pt>
                <c:pt idx="173">
                  <c:v>193.36540386946868</c:v>
                </c:pt>
                <c:pt idx="174">
                  <c:v>193.10628147007469</c:v>
                </c:pt>
                <c:pt idx="175">
                  <c:v>192.84762842757425</c:v>
                </c:pt>
                <c:pt idx="176">
                  <c:v>192.58944315968543</c:v>
                </c:pt>
                <c:pt idx="177">
                  <c:v>192.33172409122952</c:v>
                </c:pt>
                <c:pt idx="178">
                  <c:v>192.07446965409065</c:v>
                </c:pt>
                <c:pt idx="179">
                  <c:v>191.81767828717636</c:v>
                </c:pt>
                <c:pt idx="180">
                  <c:v>191.56134843637778</c:v>
                </c:pt>
                <c:pt idx="181">
                  <c:v>191.30547855453062</c:v>
                </c:pt>
                <c:pt idx="182">
                  <c:v>191.05006710137596</c:v>
                </c:pt>
                <c:pt idx="183">
                  <c:v>190.79511254352175</c:v>
                </c:pt>
                <c:pt idx="184">
                  <c:v>190.54061335440426</c:v>
                </c:pt>
                <c:pt idx="185">
                  <c:v>190.28656801424987</c:v>
                </c:pt>
                <c:pt idx="186">
                  <c:v>190.03297501003723</c:v>
                </c:pt>
                <c:pt idx="187">
                  <c:v>189.77983283545939</c:v>
                </c:pt>
                <c:pt idx="188">
                  <c:v>189.52713999088658</c:v>
                </c:pt>
                <c:pt idx="189">
                  <c:v>189.27489498332898</c:v>
                </c:pt>
                <c:pt idx="190">
                  <c:v>189.02309632639975</c:v>
                </c:pt>
                <c:pt idx="191">
                  <c:v>188.77174254027838</c:v>
                </c:pt>
                <c:pt idx="192">
                  <c:v>188.52083215167428</c:v>
                </c:pt>
                <c:pt idx="193">
                  <c:v>188.27036369379056</c:v>
                </c:pt>
                <c:pt idx="194">
                  <c:v>188.02033570628811</c:v>
                </c:pt>
                <c:pt idx="195">
                  <c:v>187.77074673524996</c:v>
                </c:pt>
                <c:pt idx="196">
                  <c:v>187.52159533314571</c:v>
                </c:pt>
                <c:pt idx="197">
                  <c:v>187.27288005879635</c:v>
                </c:pt>
                <c:pt idx="198">
                  <c:v>187.02459947733939</c:v>
                </c:pt>
                <c:pt idx="199">
                  <c:v>186.77675216019381</c:v>
                </c:pt>
                <c:pt idx="200">
                  <c:v>186.5293366850259</c:v>
                </c:pt>
                <c:pt idx="201">
                  <c:v>184.05958302181338</c:v>
                </c:pt>
                <c:pt idx="202">
                  <c:v>181.63241306131764</c:v>
                </c:pt>
                <c:pt idx="203">
                  <c:v>179.24645293050344</c:v>
                </c:pt>
                <c:pt idx="204">
                  <c:v>176.90038727906446</c:v>
                </c:pt>
                <c:pt idx="205">
                  <c:v>174.59295617817892</c:v>
                </c:pt>
                <c:pt idx="206">
                  <c:v>172.32295221659913</c:v>
                </c:pt>
                <c:pt idx="207">
                  <c:v>170.08921777958261</c:v>
                </c:pt>
                <c:pt idx="208">
                  <c:v>167.89064249738357</c:v>
                </c:pt>
                <c:pt idx="209">
                  <c:v>165.72616085112381</c:v>
                </c:pt>
                <c:pt idx="210">
                  <c:v>163.59474992485778</c:v>
                </c:pt>
                <c:pt idx="211">
                  <c:v>161.49542729355522</c:v>
                </c:pt>
                <c:pt idx="212">
                  <c:v>159.42724903754785</c:v>
                </c:pt>
                <c:pt idx="213">
                  <c:v>157.38930787473947</c:v>
                </c:pt>
                <c:pt idx="214">
                  <c:v>155.3807314025629</c:v>
                </c:pt>
                <c:pt idx="215">
                  <c:v>153.40068044229238</c:v>
                </c:pt>
                <c:pt idx="216">
                  <c:v>151.44834747889129</c:v>
                </c:pt>
                <c:pt idx="217">
                  <c:v>149.52295519009735</c:v>
                </c:pt>
                <c:pt idx="218">
                  <c:v>147.62375505892467</c:v>
                </c:pt>
                <c:pt idx="219">
                  <c:v>145.75002606420102</c:v>
                </c:pt>
                <c:pt idx="220">
                  <c:v>143.90107344415901</c:v>
                </c:pt>
                <c:pt idx="221">
                  <c:v>142.07622752846916</c:v>
                </c:pt>
                <c:pt idx="222">
                  <c:v>140.27484263444137</c:v>
                </c:pt>
                <c:pt idx="223">
                  <c:v>138.49629602343265</c:v>
                </c:pt>
                <c:pt idx="224">
                  <c:v>136.73998691378526</c:v>
                </c:pt>
                <c:pt idx="225">
                  <c:v>135.00533554688408</c:v>
                </c:pt>
                <c:pt idx="226">
                  <c:v>133.29178230316543</c:v>
                </c:pt>
                <c:pt idx="227">
                  <c:v>131.59878686513403</c:v>
                </c:pt>
                <c:pt idx="228">
                  <c:v>129.92582742465305</c:v>
                </c:pt>
                <c:pt idx="229">
                  <c:v>128.27239993196451</c:v>
                </c:pt>
                <c:pt idx="230">
                  <c:v>126.63801738407436</c:v>
                </c:pt>
                <c:pt idx="231">
                  <c:v>125.02220915030288</c:v>
                </c:pt>
                <c:pt idx="232">
                  <c:v>123.42452033295315</c:v>
                </c:pt>
                <c:pt idx="233">
                  <c:v>121.84451116119297</c:v>
                </c:pt>
                <c:pt idx="234">
                  <c:v>120.28175641637814</c:v>
                </c:pt>
                <c:pt idx="235">
                  <c:v>118.73584488716821</c:v>
                </c:pt>
                <c:pt idx="236">
                  <c:v>117.2063788529004</c:v>
                </c:pt>
                <c:pt idx="237">
                  <c:v>115.69297359379605</c:v>
                </c:pt>
                <c:pt idx="238">
                  <c:v>114.19525692667311</c:v>
                </c:pt>
                <c:pt idx="239">
                  <c:v>112.71286876493359</c:v>
                </c:pt>
                <c:pt idx="240">
                  <c:v>111.2454607016831</c:v>
                </c:pt>
                <c:pt idx="241">
                  <c:v>109.79269561492298</c:v>
                </c:pt>
                <c:pt idx="242">
                  <c:v>108.35424729383416</c:v>
                </c:pt>
                <c:pt idx="243">
                  <c:v>106.92980008524678</c:v>
                </c:pt>
                <c:pt idx="244">
                  <c:v>105.51904855945945</c:v>
                </c:pt>
                <c:pt idx="245">
                  <c:v>104.12169719463984</c:v>
                </c:pt>
                <c:pt idx="246">
                  <c:v>102.73746007910236</c:v>
                </c:pt>
                <c:pt idx="247">
                  <c:v>101.36606063081935</c:v>
                </c:pt>
                <c:pt idx="248">
                  <c:v>100.00723133358241</c:v>
                </c:pt>
                <c:pt idx="249">
                  <c:v>98.660713489286493</c:v>
                </c:pt>
                <c:pt idx="250">
                  <c:v>97.326256985865157</c:v>
                </c:pt>
                <c:pt idx="251">
                  <c:v>96.003620080459058</c:v>
                </c:pt>
                <c:pt idx="252">
                  <c:v>94.692569197452926</c:v>
                </c:pt>
                <c:pt idx="253">
                  <c:v>93.392878741067307</c:v>
                </c:pt>
                <c:pt idx="254">
                  <c:v>92.104330922243918</c:v>
                </c:pt>
                <c:pt idx="255">
                  <c:v>90.826715599613635</c:v>
                </c:pt>
                <c:pt idx="256">
                  <c:v>89.559830134387994</c:v>
                </c:pt>
                <c:pt idx="257">
                  <c:v>88.30347925906662</c:v>
                </c:pt>
                <c:pt idx="258">
                  <c:v>87.057474959905164</c:v>
                </c:pt>
                <c:pt idx="259">
                  <c:v>85.821636373141757</c:v>
                </c:pt>
                <c:pt idx="260">
                  <c:v>84.595789695034711</c:v>
                </c:pt>
                <c:pt idx="261">
                  <c:v>83.379768105820489</c:v>
                </c:pt>
                <c:pt idx="262">
                  <c:v>82.1734117077593</c:v>
                </c:pt>
                <c:pt idx="263">
                  <c:v>80.976567477496701</c:v>
                </c:pt>
                <c:pt idx="264">
                  <c:v>79.789089233033167</c:v>
                </c:pt>
                <c:pt idx="265">
                  <c:v>78.610837615660287</c:v>
                </c:pt>
                <c:pt idx="266">
                  <c:v>77.441680087293349</c:v>
                </c:pt>
                <c:pt idx="267">
                  <c:v>76.28149094370437</c:v>
                </c:pt>
                <c:pt idx="268">
                  <c:v>75.130151344239536</c:v>
                </c:pt>
                <c:pt idx="269">
                  <c:v>73.987549358689648</c:v>
                </c:pt>
                <c:pt idx="270">
                  <c:v>72.853580032072699</c:v>
                </c:pt>
                <c:pt idx="271">
                  <c:v>71.728145468184536</c:v>
                </c:pt>
                <c:pt idx="272">
                  <c:v>70.611154932878193</c:v>
                </c:pt>
                <c:pt idx="273">
                  <c:v>69.502524978143185</c:v>
                </c:pt>
                <c:pt idx="274">
                  <c:v>68.402179588177589</c:v>
                </c:pt>
                <c:pt idx="275">
                  <c:v>67.310050348773501</c:v>
                </c:pt>
                <c:pt idx="276">
                  <c:v>66.226076641477036</c:v>
                </c:pt>
                <c:pt idx="277">
                  <c:v>65.150205864132843</c:v>
                </c:pt>
                <c:pt idx="278">
                  <c:v>64.082393679584328</c:v>
                </c:pt>
                <c:pt idx="279">
                  <c:v>63.02260429447422</c:v>
                </c:pt>
                <c:pt idx="280">
                  <c:v>61.970810770275165</c:v>
                </c:pt>
                <c:pt idx="281">
                  <c:v>60.92699536887902</c:v>
                </c:pt>
                <c:pt idx="282">
                  <c:v>59.891149935285632</c:v>
                </c:pt>
                <c:pt idx="283">
                  <c:v>58.863276320157517</c:v>
                </c:pt>
                <c:pt idx="284">
                  <c:v>57.843386845245753</c:v>
                </c:pt>
                <c:pt idx="285">
                  <c:v>56.831504814944473</c:v>
                </c:pt>
                <c:pt idx="286">
                  <c:v>55.827665077494309</c:v>
                </c:pt>
                <c:pt idx="287">
                  <c:v>54.831914639628458</c:v>
                </c:pt>
                <c:pt idx="288">
                  <c:v>53.844313338734686</c:v>
                </c:pt>
                <c:pt idx="289">
                  <c:v>52.864934576889326</c:v>
                </c:pt>
                <c:pt idx="290">
                  <c:v>51.893866121398837</c:v>
                </c:pt>
                <c:pt idx="291">
                  <c:v>50.93121097675413</c:v>
                </c:pt>
                <c:pt idx="292">
                  <c:v>49.977088333151045</c:v>
                </c:pt>
                <c:pt idx="293">
                  <c:v>49.031634596945956</c:v>
                </c:pt>
                <c:pt idx="294">
                  <c:v>48.095004508578967</c:v>
                </c:pt>
                <c:pt idx="295">
                  <c:v>47.167372353589293</c:v>
                </c:pt>
                <c:pt idx="296">
                  <c:v>46.248933272337787</c:v>
                </c:pt>
                <c:pt idx="297">
                  <c:v>45.339904673908038</c:v>
                </c:pt>
                <c:pt idx="298">
                  <c:v>44.440527759333747</c:v>
                </c:pt>
                <c:pt idx="299">
                  <c:v>43.551069158744625</c:v>
                </c:pt>
                <c:pt idx="300">
                  <c:v>42.671822686167921</c:v>
                </c:pt>
                <c:pt idx="301">
                  <c:v>41.803111214487942</c:v>
                </c:pt>
                <c:pt idx="302">
                  <c:v>40.945288671354142</c:v>
                </c:pt>
                <c:pt idx="303">
                  <c:v>40.09874215452357</c:v>
                </c:pt>
                <c:pt idx="304">
                  <c:v>39.263894162087681</c:v>
                </c:pt>
                <c:pt idx="305">
                  <c:v>38.441204929109425</c:v>
                </c:pt>
                <c:pt idx="306">
                  <c:v>37.631174857200577</c:v>
                </c:pt>
                <c:pt idx="307">
                  <c:v>36.83434701729994</c:v>
                </c:pt>
                <c:pt idx="308">
                  <c:v>36.051309698150085</c:v>
                </c:pt>
                <c:pt idx="309">
                  <c:v>35.28269896348494</c:v>
                </c:pt>
                <c:pt idx="310">
                  <c:v>34.529201169508575</c:v>
                </c:pt>
                <c:pt idx="311">
                  <c:v>33.791555380668719</c:v>
                </c:pt>
                <c:pt idx="312">
                  <c:v>33.070555605864875</c:v>
                </c:pt>
                <c:pt idx="313">
                  <c:v>32.367052759038813</c:v>
                </c:pt>
                <c:pt idx="314">
                  <c:v>31.681956227690407</c:v>
                </c:pt>
                <c:pt idx="315">
                  <c:v>31.016234910591837</c:v>
                </c:pt>
                <c:pt idx="316">
                  <c:v>30.37091756250657</c:v>
                </c:pt>
                <c:pt idx="317">
                  <c:v>29.74709226014825</c:v>
                </c:pt>
                <c:pt idx="318">
                  <c:v>29.1459047815611</c:v>
                </c:pt>
                <c:pt idx="319">
                  <c:v>28.568555672817485</c:v>
                </c:pt>
                <c:pt idx="320">
                  <c:v>28.016295764350456</c:v>
                </c:pt>
                <c:pt idx="321">
                  <c:v>27.490419897997882</c:v>
                </c:pt>
                <c:pt idx="322">
                  <c:v>26.992258639132736</c:v>
                </c:pt>
                <c:pt idx="323">
                  <c:v>26.523167780598769</c:v>
                </c:pt>
                <c:pt idx="324">
                  <c:v>26.084515500900359</c:v>
                </c:pt>
                <c:pt idx="325">
                  <c:v>25.677667121681377</c:v>
                </c:pt>
                <c:pt idx="326">
                  <c:v>25.303967520659924</c:v>
                </c:pt>
                <c:pt idx="327">
                  <c:v>24.964721394726702</c:v>
                </c:pt>
                <c:pt idx="328">
                  <c:v>24.661171728878866</c:v>
                </c:pt>
                <c:pt idx="329">
                  <c:v>24.394477000466818</c:v>
                </c:pt>
                <c:pt idx="330">
                  <c:v>24.165687820535997</c:v>
                </c:pt>
                <c:pt idx="331">
                  <c:v>23.975723866457415</c:v>
                </c:pt>
                <c:pt idx="332">
                  <c:v>23.825352071912441</c:v>
                </c:pt>
                <c:pt idx="333">
                  <c:v>23.715167091561575</c:v>
                </c:pt>
                <c:pt idx="334">
                  <c:v>23.645575032442181</c:v>
                </c:pt>
                <c:pt idx="335">
                  <c:v>23.61678133407991</c:v>
                </c:pt>
                <c:pt idx="336">
                  <c:v>23.628783486714674</c:v>
                </c:pt>
                <c:pt idx="337">
                  <c:v>23.681369015756975</c:v>
                </c:pt>
                <c:pt idx="338">
                  <c:v>23.774118854864508</c:v>
                </c:pt>
                <c:pt idx="339">
                  <c:v>23.906415911218268</c:v>
                </c:pt>
                <c:pt idx="340">
                  <c:v>24.077458328185784</c:v>
                </c:pt>
                <c:pt idx="341">
                  <c:v>24.286276702800432</c:v>
                </c:pt>
                <c:pt idx="342">
                  <c:v>24.531754340590158</c:v>
                </c:pt>
                <c:pt idx="343">
                  <c:v>24.812649539592911</c:v>
                </c:pt>
                <c:pt idx="344">
                  <c:v>25.127618888699875</c:v>
                </c:pt>
                <c:pt idx="345">
                  <c:v>25.475240632543613</c:v>
                </c:pt>
                <c:pt idx="346">
                  <c:v>25.854037278766011</c:v>
                </c:pt>
                <c:pt idx="347">
                  <c:v>26.262496783089546</c:v>
                </c:pt>
                <c:pt idx="348">
                  <c:v>26.699091822716536</c:v>
                </c:pt>
                <c:pt idx="349">
                  <c:v>27.162296841493909</c:v>
                </c:pt>
                <c:pt idx="350">
                  <c:v>27.650602707621864</c:v>
                </c:pt>
                <c:pt idx="351">
                  <c:v>28.16252895789216</c:v>
                </c:pt>
                <c:pt idx="352">
                  <c:v>28.696633707455252</c:v>
                </c:pt>
                <c:pt idx="353">
                  <c:v>29.251521380535259</c:v>
                </c:pt>
                <c:pt idx="354">
                  <c:v>29.825848467548091</c:v>
                </c:pt>
                <c:pt idx="355">
                  <c:v>30.418327541512522</c:v>
                </c:pt>
                <c:pt idx="356">
                  <c:v>31.027729775952011</c:v>
                </c:pt>
                <c:pt idx="357">
                  <c:v>31.652886202183748</c:v>
                </c:pt>
                <c:pt idx="358">
                  <c:v>32.292687930107476</c:v>
                </c:pt>
                <c:pt idx="359">
                  <c:v>32.946085536849274</c:v>
                </c:pt>
                <c:pt idx="360">
                  <c:v>33.61208780468575</c:v>
                </c:pt>
                <c:pt idx="361">
                  <c:v>34.289759965686748</c:v>
                </c:pt>
                <c:pt idx="362">
                  <c:v>34.978221586969063</c:v>
                </c:pt>
                <c:pt idx="363">
                  <c:v>35.6766442083374</c:v>
                </c:pt>
                <c:pt idx="364">
                  <c:v>36.384248823988173</c:v>
                </c:pt>
                <c:pt idx="365">
                  <c:v>37.100303282149135</c:v>
                </c:pt>
                <c:pt idx="366">
                  <c:v>37.824119661092631</c:v>
                </c:pt>
                <c:pt idx="367">
                  <c:v>38.555051666817903</c:v>
                </c:pt>
                <c:pt idx="368">
                  <c:v>39.292492086683893</c:v>
                </c:pt>
                <c:pt idx="369">
                  <c:v>40.03587032417758</c:v>
                </c:pt>
                <c:pt idx="370">
                  <c:v>40.78465003259155</c:v>
                </c:pt>
                <c:pt idx="371">
                  <c:v>41.538326859427677</c:v>
                </c:pt>
                <c:pt idx="372">
                  <c:v>42.29642630862039</c:v>
                </c:pt>
                <c:pt idx="373">
                  <c:v>43.05850172398349</c:v>
                </c:pt>
                <c:pt idx="374">
                  <c:v>43.824132394449052</c:v>
                </c:pt>
                <c:pt idx="375">
                  <c:v>44.592921779530599</c:v>
                </c:pt>
                <c:pt idx="376">
                  <c:v>45.364495851872064</c:v>
                </c:pt>
                <c:pt idx="377">
                  <c:v>46.138501552626103</c:v>
                </c:pt>
                <c:pt idx="378">
                  <c:v>46.914605354646795</c:v>
                </c:pt>
                <c:pt idx="379">
                  <c:v>47.692491928004074</c:v>
                </c:pt>
                <c:pt idx="380">
                  <c:v>48.471862902068196</c:v>
                </c:pt>
                <c:pt idx="381">
                  <c:v>49.252435718318893</c:v>
                </c:pt>
                <c:pt idx="382">
                  <c:v>50.033942568065882</c:v>
                </c:pt>
                <c:pt idx="383">
                  <c:v>50.816129409390321</c:v>
                </c:pt>
                <c:pt idx="384">
                  <c:v>51.59875505780591</c:v>
                </c:pt>
                <c:pt idx="385">
                  <c:v>52.381590345371592</c:v>
                </c:pt>
                <c:pt idx="386">
                  <c:v>53.164417343250513</c:v>
                </c:pt>
                <c:pt idx="387">
                  <c:v>53.947028642988762</c:v>
                </c:pt>
                <c:pt idx="388">
                  <c:v>54.729226692073169</c:v>
                </c:pt>
                <c:pt idx="389">
                  <c:v>55.510823179614285</c:v>
                </c:pt>
                <c:pt idx="390">
                  <c:v>56.291638468281214</c:v>
                </c:pt>
                <c:pt idx="391">
                  <c:v>57.071501068888026</c:v>
                </c:pt>
                <c:pt idx="392">
                  <c:v>57.850247154292497</c:v>
                </c:pt>
                <c:pt idx="393">
                  <c:v>58.627720109516503</c:v>
                </c:pt>
                <c:pt idx="394">
                  <c:v>59.40377011523222</c:v>
                </c:pt>
                <c:pt idx="395">
                  <c:v>60.178253761978446</c:v>
                </c:pt>
                <c:pt idx="396">
                  <c:v>60.951033692677768</c:v>
                </c:pt>
                <c:pt idx="397">
                  <c:v>61.721978271216898</c:v>
                </c:pt>
                <c:pt idx="398">
                  <c:v>62.490961275031232</c:v>
                </c:pt>
                <c:pt idx="399">
                  <c:v>63.257861609799498</c:v>
                </c:pt>
                <c:pt idx="400">
                  <c:v>64.022563044507024</c:v>
                </c:pt>
                <c:pt idx="401">
                  <c:v>64.784953965277182</c:v>
                </c:pt>
                <c:pt idx="402">
                  <c:v>65.544927146500086</c:v>
                </c:pt>
                <c:pt idx="403">
                  <c:v>66.302379537907186</c:v>
                </c:pt>
                <c:pt idx="404">
                  <c:v>67.057212066349862</c:v>
                </c:pt>
                <c:pt idx="405">
                  <c:v>67.809329451141366</c:v>
                </c:pt>
                <c:pt idx="406">
                  <c:v>68.558640031913512</c:v>
                </c:pt>
                <c:pt idx="407">
                  <c:v>69.30505560802473</c:v>
                </c:pt>
                <c:pt idx="408">
                  <c:v>70.048491288634011</c:v>
                </c:pt>
                <c:pt idx="409">
                  <c:v>70.788865352626189</c:v>
                </c:pt>
                <c:pt idx="410">
                  <c:v>71.526099117640086</c:v>
                </c:pt>
                <c:pt idx="411">
                  <c:v>72.260116817510678</c:v>
                </c:pt>
                <c:pt idx="412">
                  <c:v>72.990845487491427</c:v>
                </c:pt>
                <c:pt idx="413">
                  <c:v>73.718214856673526</c:v>
                </c:pt>
                <c:pt idx="414">
                  <c:v>74.442157247064912</c:v>
                </c:pt>
                <c:pt idx="415">
                  <c:v>75.162607478834374</c:v>
                </c:pt>
                <c:pt idx="416">
                  <c:v>75.879502781264733</c:v>
                </c:pt>
                <c:pt idx="417">
                  <c:v>76.592782708995244</c:v>
                </c:pt>
                <c:pt idx="418">
                  <c:v>77.302389063165492</c:v>
                </c:pt>
                <c:pt idx="419">
                  <c:v>78.008265817103478</c:v>
                </c:pt>
                <c:pt idx="420">
                  <c:v>78.710359046228135</c:v>
                </c:pt>
                <c:pt idx="421">
                  <c:v>79.408616861861887</c:v>
                </c:pt>
                <c:pt idx="422">
                  <c:v>80.102989348671898</c:v>
                </c:pt>
                <c:pt idx="423">
                  <c:v>80.793428505480406</c:v>
                </c:pt>
                <c:pt idx="424">
                  <c:v>81.479888189204118</c:v>
                </c:pt>
                <c:pt idx="425">
                  <c:v>82.162324061700474</c:v>
                </c:pt>
                <c:pt idx="426">
                  <c:v>82.840693539315851</c:v>
                </c:pt>
                <c:pt idx="427">
                  <c:v>83.514955744945638</c:v>
                </c:pt>
                <c:pt idx="428">
                  <c:v>84.185071462430329</c:v>
                </c:pt>
                <c:pt idx="429">
                  <c:v>84.851003093125044</c:v>
                </c:pt>
                <c:pt idx="430">
                  <c:v>85.51271461449177</c:v>
                </c:pt>
                <c:pt idx="431">
                  <c:v>86.170171540574657</c:v>
                </c:pt>
                <c:pt idx="432">
                  <c:v>86.823340884229083</c:v>
                </c:pt>
                <c:pt idx="433">
                  <c:v>87.472191120984405</c:v>
                </c:pt>
                <c:pt idx="434">
                  <c:v>88.116692154429543</c:v>
                </c:pt>
                <c:pt idx="435">
                  <c:v>88.756815283017914</c:v>
                </c:pt>
                <c:pt idx="436">
                  <c:v>89.392533168196266</c:v>
                </c:pt>
                <c:pt idx="437">
                  <c:v>90.023819803768788</c:v>
                </c:pt>
                <c:pt idx="438">
                  <c:v>90.650650486413824</c:v>
                </c:pt>
                <c:pt idx="439">
                  <c:v>91.273001787277067</c:v>
                </c:pt>
                <c:pt idx="440">
                  <c:v>91.89085152457011</c:v>
                </c:pt>
                <c:pt idx="441">
                  <c:v>92.504178737108475</c:v>
                </c:pt>
                <c:pt idx="442">
                  <c:v>93.112963658728106</c:v>
                </c:pt>
                <c:pt idx="443">
                  <c:v>93.717187693523272</c:v>
                </c:pt>
                <c:pt idx="444">
                  <c:v>94.316833391853322</c:v>
                </c:pt>
                <c:pt idx="445">
                  <c:v>94.911884427069239</c:v>
                </c:pt>
                <c:pt idx="446">
                  <c:v>95.502325572914501</c:v>
                </c:pt>
                <c:pt idx="447">
                  <c:v>96.088142681557784</c:v>
                </c:pt>
                <c:pt idx="448">
                  <c:v>96.66932266221869</c:v>
                </c:pt>
                <c:pt idx="449">
                  <c:v>97.245853460349551</c:v>
                </c:pt>
                <c:pt idx="450">
                  <c:v>97.817724037339758</c:v>
                </c:pt>
                <c:pt idx="451">
                  <c:v>98.384924350711159</c:v>
                </c:pt>
                <c:pt idx="452">
                  <c:v>98.94744533477521</c:v>
                </c:pt>
                <c:pt idx="453">
                  <c:v>99.505278881724777</c:v>
                </c:pt>
                <c:pt idx="454">
                  <c:v>100.05841782313573</c:v>
                </c:pt>
                <c:pt idx="455">
                  <c:v>100.60685591185459</c:v>
                </c:pt>
                <c:pt idx="456">
                  <c:v>101.15058780425095</c:v>
                </c:pt>
                <c:pt idx="457">
                  <c:v>101.68960904281428</c:v>
                </c:pt>
                <c:pt idx="458">
                  <c:v>102.22391603907688</c:v>
                </c:pt>
                <c:pt idx="459">
                  <c:v>102.75350605684531</c:v>
                </c:pt>
                <c:pt idx="460">
                  <c:v>103.27837719572467</c:v>
                </c:pt>
                <c:pt idx="461">
                  <c:v>103.79852837492091</c:v>
                </c:pt>
                <c:pt idx="462">
                  <c:v>104.31395931730724</c:v>
                </c:pt>
                <c:pt idx="463">
                  <c:v>104.82467053374219</c:v>
                </c:pt>
                <c:pt idx="464">
                  <c:v>105.3306633076277</c:v>
                </c:pt>
                <c:pt idx="465">
                  <c:v>105.83193967969615</c:v>
                </c:pt>
                <c:pt idx="466">
                  <c:v>106.32850243301658</c:v>
                </c:pt>
                <c:pt idx="467">
                  <c:v>106.82035507821088</c:v>
                </c:pt>
                <c:pt idx="468">
                  <c:v>107.30750183887135</c:v>
                </c:pt>
                <c:pt idx="469">
                  <c:v>107.78994763717192</c:v>
                </c:pt>
                <c:pt idx="470">
                  <c:v>108.26769807966585</c:v>
                </c:pt>
                <c:pt idx="471">
                  <c:v>108.74075944326312</c:v>
                </c:pt>
                <c:pt idx="472">
                  <c:v>109.2091386613818</c:v>
                </c:pt>
                <c:pt idx="473">
                  <c:v>109.67284331026747</c:v>
                </c:pt>
                <c:pt idx="474">
                  <c:v>110.13188159547579</c:v>
                </c:pt>
                <c:pt idx="475">
                  <c:v>110.58626233851358</c:v>
                </c:pt>
                <c:pt idx="476">
                  <c:v>111.03599496363398</c:v>
                </c:pt>
                <c:pt idx="477">
                  <c:v>111.48108948478202</c:v>
                </c:pt>
                <c:pt idx="478">
                  <c:v>111.9215564926869</c:v>
                </c:pt>
                <c:pt idx="479">
                  <c:v>112.35740714209794</c:v>
                </c:pt>
                <c:pt idx="480">
                  <c:v>112.7886531391609</c:v>
                </c:pt>
                <c:pt idx="481">
                  <c:v>113.21530672893266</c:v>
                </c:pt>
                <c:pt idx="482">
                  <c:v>113.63738068303127</c:v>
                </c:pt>
                <c:pt idx="483">
                  <c:v>114.05488828741946</c:v>
                </c:pt>
                <c:pt idx="484">
                  <c:v>114.46784333031984</c:v>
                </c:pt>
                <c:pt idx="485">
                  <c:v>114.87626009025979</c:v>
                </c:pt>
                <c:pt idx="486">
                  <c:v>115.28015332424452</c:v>
                </c:pt>
                <c:pt idx="487">
                  <c:v>115.67953825605713</c:v>
                </c:pt>
                <c:pt idx="488">
                  <c:v>116.07443056468421</c:v>
                </c:pt>
                <c:pt idx="489">
                  <c:v>116.46484637286611</c:v>
                </c:pt>
                <c:pt idx="490">
                  <c:v>116.85080223577059</c:v>
                </c:pt>
                <c:pt idx="491">
                  <c:v>117.23231512978938</c:v>
                </c:pt>
                <c:pt idx="492">
                  <c:v>117.60940244145682</c:v>
                </c:pt>
                <c:pt idx="493">
                  <c:v>117.98208195648959</c:v>
                </c:pt>
                <c:pt idx="494">
                  <c:v>118.35037184894767</c:v>
                </c:pt>
                <c:pt idx="495">
                  <c:v>118.71429067051528</c:v>
                </c:pt>
                <c:pt idx="496">
                  <c:v>119.07385733990212</c:v>
                </c:pt>
                <c:pt idx="497">
                  <c:v>119.42909113236389</c:v>
                </c:pt>
                <c:pt idx="498">
                  <c:v>119.78001166934246</c:v>
                </c:pt>
                <c:pt idx="499">
                  <c:v>120.12663890822493</c:v>
                </c:pt>
                <c:pt idx="500">
                  <c:v>120.46899313222173</c:v>
                </c:pt>
                <c:pt idx="501">
                  <c:v>120.80709494036326</c:v>
                </c:pt>
                <c:pt idx="502">
                  <c:v>121.14096523761545</c:v>
                </c:pt>
                <c:pt idx="503">
                  <c:v>121.47062522511357</c:v>
                </c:pt>
                <c:pt idx="504">
                  <c:v>121.79609639051458</c:v>
                </c:pt>
                <c:pt idx="505">
                  <c:v>122.11740049846787</c:v>
                </c:pt>
                <c:pt idx="506">
                  <c:v>122.43455958120428</c:v>
                </c:pt>
                <c:pt idx="507">
                  <c:v>122.74759592924335</c:v>
                </c:pt>
                <c:pt idx="508">
                  <c:v>123.05653208221878</c:v>
                </c:pt>
                <c:pt idx="509">
                  <c:v>123.36139081982226</c:v>
                </c:pt>
                <c:pt idx="510">
                  <c:v>123.66219515286521</c:v>
                </c:pt>
                <c:pt idx="511">
                  <c:v>123.95896831445872</c:v>
                </c:pt>
                <c:pt idx="512">
                  <c:v>123.95926103432615</c:v>
                </c:pt>
                <c:pt idx="513">
                  <c:v>123.95955375022075</c:v>
                </c:pt>
                <c:pt idx="514">
                  <c:v>123.95984646214251</c:v>
                </c:pt>
                <c:pt idx="515">
                  <c:v>123.96013917009148</c:v>
                </c:pt>
                <c:pt idx="516">
                  <c:v>123.96043187406767</c:v>
                </c:pt>
                <c:pt idx="517">
                  <c:v>123.96072457407109</c:v>
                </c:pt>
                <c:pt idx="518">
                  <c:v>123.96101727010182</c:v>
                </c:pt>
                <c:pt idx="519">
                  <c:v>123.9613099621598</c:v>
                </c:pt>
                <c:pt idx="520">
                  <c:v>123.96160265024513</c:v>
                </c:pt>
                <c:pt idx="521">
                  <c:v>123.96189533435779</c:v>
                </c:pt>
                <c:pt idx="522">
                  <c:v>123.96218801449781</c:v>
                </c:pt>
                <c:pt idx="523">
                  <c:v>123.9624806906652</c:v>
                </c:pt>
                <c:pt idx="524">
                  <c:v>123.96277336286002</c:v>
                </c:pt>
                <c:pt idx="525">
                  <c:v>123.96306603108226</c:v>
                </c:pt>
                <c:pt idx="526">
                  <c:v>123.96335869533196</c:v>
                </c:pt>
                <c:pt idx="527">
                  <c:v>123.96365135560916</c:v>
                </c:pt>
                <c:pt idx="528">
                  <c:v>123.96394401191387</c:v>
                </c:pt>
                <c:pt idx="529">
                  <c:v>123.96423666424609</c:v>
                </c:pt>
                <c:pt idx="530">
                  <c:v>123.96452931260585</c:v>
                </c:pt>
                <c:pt idx="531">
                  <c:v>123.96482195699319</c:v>
                </c:pt>
                <c:pt idx="532">
                  <c:v>123.96511459740815</c:v>
                </c:pt>
                <c:pt idx="533">
                  <c:v>123.9654072338507</c:v>
                </c:pt>
                <c:pt idx="534">
                  <c:v>123.9656998663209</c:v>
                </c:pt>
                <c:pt idx="535">
                  <c:v>123.96599249481879</c:v>
                </c:pt>
                <c:pt idx="536">
                  <c:v>123.96628511934435</c:v>
                </c:pt>
                <c:pt idx="537">
                  <c:v>123.96657773989763</c:v>
                </c:pt>
                <c:pt idx="538">
                  <c:v>123.96687035647867</c:v>
                </c:pt>
                <c:pt idx="539">
                  <c:v>123.96716296908745</c:v>
                </c:pt>
                <c:pt idx="540">
                  <c:v>123.96745557772402</c:v>
                </c:pt>
                <c:pt idx="541">
                  <c:v>123.96774818238842</c:v>
                </c:pt>
                <c:pt idx="542">
                  <c:v>123.96804078308064</c:v>
                </c:pt>
                <c:pt idx="543">
                  <c:v>123.96833337980071</c:v>
                </c:pt>
                <c:pt idx="544">
                  <c:v>123.96862597254865</c:v>
                </c:pt>
                <c:pt idx="545">
                  <c:v>123.9689185613245</c:v>
                </c:pt>
                <c:pt idx="546">
                  <c:v>123.96921114612827</c:v>
                </c:pt>
                <c:pt idx="547">
                  <c:v>123.96950372696</c:v>
                </c:pt>
                <c:pt idx="548">
                  <c:v>123.96979630381969</c:v>
                </c:pt>
                <c:pt idx="549">
                  <c:v>123.97008887670738</c:v>
                </c:pt>
                <c:pt idx="550">
                  <c:v>123.9703814456231</c:v>
                </c:pt>
                <c:pt idx="551">
                  <c:v>123.97067401056687</c:v>
                </c:pt>
                <c:pt idx="552">
                  <c:v>123.97096657153871</c:v>
                </c:pt>
                <c:pt idx="553">
                  <c:v>123.97125912853862</c:v>
                </c:pt>
                <c:pt idx="554">
                  <c:v>123.97155168156664</c:v>
                </c:pt>
                <c:pt idx="555">
                  <c:v>123.97184423062282</c:v>
                </c:pt>
                <c:pt idx="556">
                  <c:v>123.97213677570713</c:v>
                </c:pt>
                <c:pt idx="557">
                  <c:v>123.97242931681964</c:v>
                </c:pt>
                <c:pt idx="558">
                  <c:v>123.97272185396035</c:v>
                </c:pt>
                <c:pt idx="559">
                  <c:v>123.97301438712931</c:v>
                </c:pt>
                <c:pt idx="560">
                  <c:v>123.97330691632652</c:v>
                </c:pt>
                <c:pt idx="561">
                  <c:v>123.97359944155201</c:v>
                </c:pt>
                <c:pt idx="562">
                  <c:v>123.97389196280579</c:v>
                </c:pt>
                <c:pt idx="563">
                  <c:v>123.9741844800879</c:v>
                </c:pt>
                <c:pt idx="564">
                  <c:v>123.97447699339835</c:v>
                </c:pt>
                <c:pt idx="565">
                  <c:v>123.97476950273719</c:v>
                </c:pt>
                <c:pt idx="566">
                  <c:v>123.97506200810442</c:v>
                </c:pt>
                <c:pt idx="567">
                  <c:v>123.97535450950006</c:v>
                </c:pt>
                <c:pt idx="568">
                  <c:v>123.97564700692415</c:v>
                </c:pt>
                <c:pt idx="569">
                  <c:v>123.97593950037668</c:v>
                </c:pt>
                <c:pt idx="570">
                  <c:v>123.97623198985772</c:v>
                </c:pt>
                <c:pt idx="571">
                  <c:v>123.97652447536728</c:v>
                </c:pt>
                <c:pt idx="572">
                  <c:v>123.97681695690537</c:v>
                </c:pt>
                <c:pt idx="573">
                  <c:v>123.97710943447201</c:v>
                </c:pt>
                <c:pt idx="574">
                  <c:v>123.97740190806725</c:v>
                </c:pt>
                <c:pt idx="575">
                  <c:v>123.97769437769109</c:v>
                </c:pt>
                <c:pt idx="576">
                  <c:v>123.97798684334354</c:v>
                </c:pt>
                <c:pt idx="577">
                  <c:v>123.97827930502467</c:v>
                </c:pt>
                <c:pt idx="578">
                  <c:v>123.97857176273448</c:v>
                </c:pt>
                <c:pt idx="579">
                  <c:v>123.97886421647296</c:v>
                </c:pt>
                <c:pt idx="580">
                  <c:v>123.97915666624017</c:v>
                </c:pt>
                <c:pt idx="581">
                  <c:v>123.97944911203614</c:v>
                </c:pt>
                <c:pt idx="582">
                  <c:v>123.97974155386088</c:v>
                </c:pt>
                <c:pt idx="583">
                  <c:v>123.98003399171439</c:v>
                </c:pt>
                <c:pt idx="584">
                  <c:v>123.98032642559674</c:v>
                </c:pt>
                <c:pt idx="585">
                  <c:v>123.98061885550793</c:v>
                </c:pt>
                <c:pt idx="586">
                  <c:v>123.98091128144797</c:v>
                </c:pt>
                <c:pt idx="587">
                  <c:v>123.98120370341691</c:v>
                </c:pt>
                <c:pt idx="588">
                  <c:v>123.98149612141475</c:v>
                </c:pt>
                <c:pt idx="589">
                  <c:v>123.98178853544152</c:v>
                </c:pt>
                <c:pt idx="590">
                  <c:v>123.98208094549726</c:v>
                </c:pt>
                <c:pt idx="591">
                  <c:v>123.98237335158198</c:v>
                </c:pt>
                <c:pt idx="592">
                  <c:v>123.9826657536957</c:v>
                </c:pt>
                <c:pt idx="593">
                  <c:v>123.98295815183846</c:v>
                </c:pt>
                <c:pt idx="594">
                  <c:v>123.98325054601025</c:v>
                </c:pt>
                <c:pt idx="595">
                  <c:v>123.98354293621114</c:v>
                </c:pt>
                <c:pt idx="596">
                  <c:v>123.98383532244112</c:v>
                </c:pt>
                <c:pt idx="597">
                  <c:v>123.98412770470023</c:v>
                </c:pt>
                <c:pt idx="598">
                  <c:v>123.98442008298848</c:v>
                </c:pt>
                <c:pt idx="599">
                  <c:v>123.9847124573059</c:v>
                </c:pt>
                <c:pt idx="600">
                  <c:v>123.9850048276525</c:v>
                </c:pt>
                <c:pt idx="601">
                  <c:v>123.98529719402833</c:v>
                </c:pt>
                <c:pt idx="602">
                  <c:v>123.9855895564334</c:v>
                </c:pt>
                <c:pt idx="603">
                  <c:v>123.98588191486773</c:v>
                </c:pt>
                <c:pt idx="604">
                  <c:v>123.98617426933133</c:v>
                </c:pt>
                <c:pt idx="605">
                  <c:v>123.98646661982426</c:v>
                </c:pt>
                <c:pt idx="606">
                  <c:v>123.98675896634651</c:v>
                </c:pt>
                <c:pt idx="607">
                  <c:v>123.98705130889812</c:v>
                </c:pt>
                <c:pt idx="608">
                  <c:v>123.98734364747911</c:v>
                </c:pt>
                <c:pt idx="609">
                  <c:v>123.9876359820895</c:v>
                </c:pt>
                <c:pt idx="610">
                  <c:v>123.98792831272932</c:v>
                </c:pt>
                <c:pt idx="611">
                  <c:v>123.98822063939859</c:v>
                </c:pt>
                <c:pt idx="612">
                  <c:v>123.98851296209735</c:v>
                </c:pt>
                <c:pt idx="613">
                  <c:v>123.98880528082557</c:v>
                </c:pt>
                <c:pt idx="614">
                  <c:v>123.98909759558335</c:v>
                </c:pt>
                <c:pt idx="615">
                  <c:v>123.98938990637065</c:v>
                </c:pt>
                <c:pt idx="616">
                  <c:v>123.98968221318752</c:v>
                </c:pt>
                <c:pt idx="617">
                  <c:v>123.989974516034</c:v>
                </c:pt>
                <c:pt idx="618">
                  <c:v>123.99026681491007</c:v>
                </c:pt>
                <c:pt idx="619">
                  <c:v>123.99055910981579</c:v>
                </c:pt>
                <c:pt idx="620">
                  <c:v>123.99085140075118</c:v>
                </c:pt>
                <c:pt idx="621">
                  <c:v>123.99114368771625</c:v>
                </c:pt>
                <c:pt idx="622">
                  <c:v>123.99143597071101</c:v>
                </c:pt>
                <c:pt idx="623">
                  <c:v>123.99172824973553</c:v>
                </c:pt>
                <c:pt idx="624">
                  <c:v>123.99202052478978</c:v>
                </c:pt>
                <c:pt idx="625">
                  <c:v>123.99231279587381</c:v>
                </c:pt>
                <c:pt idx="626">
                  <c:v>123.99260506298765</c:v>
                </c:pt>
                <c:pt idx="627">
                  <c:v>123.99289732613133</c:v>
                </c:pt>
                <c:pt idx="628">
                  <c:v>123.99318958530483</c:v>
                </c:pt>
                <c:pt idx="629">
                  <c:v>123.99348184050822</c:v>
                </c:pt>
                <c:pt idx="630">
                  <c:v>123.99377409174151</c:v>
                </c:pt>
                <c:pt idx="631">
                  <c:v>123.99406633900472</c:v>
                </c:pt>
                <c:pt idx="632">
                  <c:v>123.99435858229788</c:v>
                </c:pt>
                <c:pt idx="633">
                  <c:v>123.99465082162098</c:v>
                </c:pt>
                <c:pt idx="634">
                  <c:v>123.99494305697408</c:v>
                </c:pt>
                <c:pt idx="635">
                  <c:v>123.99523528835722</c:v>
                </c:pt>
                <c:pt idx="636">
                  <c:v>123.99552751577036</c:v>
                </c:pt>
                <c:pt idx="637">
                  <c:v>123.99581973921357</c:v>
                </c:pt>
                <c:pt idx="638">
                  <c:v>123.99611195868687</c:v>
                </c:pt>
                <c:pt idx="639">
                  <c:v>123.99640417419027</c:v>
                </c:pt>
                <c:pt idx="640">
                  <c:v>123.99669638572381</c:v>
                </c:pt>
                <c:pt idx="641">
                  <c:v>123.9969885932875</c:v>
                </c:pt>
                <c:pt idx="642">
                  <c:v>123.99728079688137</c:v>
                </c:pt>
                <c:pt idx="643">
                  <c:v>123.99757299650543</c:v>
                </c:pt>
                <c:pt idx="644">
                  <c:v>123.99786519215971</c:v>
                </c:pt>
                <c:pt idx="645">
                  <c:v>123.99815738384426</c:v>
                </c:pt>
                <c:pt idx="646">
                  <c:v>123.99844957155906</c:v>
                </c:pt>
                <c:pt idx="647">
                  <c:v>123.99874175530417</c:v>
                </c:pt>
                <c:pt idx="648">
                  <c:v>123.99903393507959</c:v>
                </c:pt>
                <c:pt idx="649">
                  <c:v>123.99932611088536</c:v>
                </c:pt>
                <c:pt idx="650">
                  <c:v>123.9996182827215</c:v>
                </c:pt>
                <c:pt idx="651">
                  <c:v>123.99991045058802</c:v>
                </c:pt>
                <c:pt idx="652">
                  <c:v>124.00020261448496</c:v>
                </c:pt>
                <c:pt idx="653">
                  <c:v>124.00049477441233</c:v>
                </c:pt>
                <c:pt idx="654">
                  <c:v>124.00078693037017</c:v>
                </c:pt>
                <c:pt idx="655">
                  <c:v>124.00107908235846</c:v>
                </c:pt>
                <c:pt idx="656">
                  <c:v>124.00137123037729</c:v>
                </c:pt>
                <c:pt idx="657">
                  <c:v>124.00166337442663</c:v>
                </c:pt>
                <c:pt idx="658">
                  <c:v>124.00195551450652</c:v>
                </c:pt>
                <c:pt idx="659">
                  <c:v>124.00224765061699</c:v>
                </c:pt>
                <c:pt idx="660">
                  <c:v>124.00253978275806</c:v>
                </c:pt>
                <c:pt idx="661">
                  <c:v>124.00283191092976</c:v>
                </c:pt>
                <c:pt idx="662">
                  <c:v>124.0031240351321</c:v>
                </c:pt>
                <c:pt idx="663">
                  <c:v>124.00341615536514</c:v>
                </c:pt>
                <c:pt idx="664">
                  <c:v>124.00370827162884</c:v>
                </c:pt>
                <c:pt idx="665">
                  <c:v>124.00400038392327</c:v>
                </c:pt>
                <c:pt idx="666">
                  <c:v>124.00429249224842</c:v>
                </c:pt>
                <c:pt idx="667">
                  <c:v>124.00458459660436</c:v>
                </c:pt>
                <c:pt idx="668">
                  <c:v>124.00487669699108</c:v>
                </c:pt>
                <c:pt idx="669">
                  <c:v>124.0051687934086</c:v>
                </c:pt>
                <c:pt idx="670">
                  <c:v>124.00546088585696</c:v>
                </c:pt>
                <c:pt idx="671">
                  <c:v>124.00575297433619</c:v>
                </c:pt>
                <c:pt idx="672">
                  <c:v>124.00604505884628</c:v>
                </c:pt>
                <c:pt idx="673">
                  <c:v>124.0063371393873</c:v>
                </c:pt>
                <c:pt idx="674">
                  <c:v>124.00662921595924</c:v>
                </c:pt>
                <c:pt idx="675">
                  <c:v>124.00692128856213</c:v>
                </c:pt>
                <c:pt idx="676">
                  <c:v>124.00721335719599</c:v>
                </c:pt>
                <c:pt idx="677">
                  <c:v>124.00750542186084</c:v>
                </c:pt>
                <c:pt idx="678">
                  <c:v>124.00779748255673</c:v>
                </c:pt>
                <c:pt idx="679">
                  <c:v>124.00808953928367</c:v>
                </c:pt>
                <c:pt idx="680">
                  <c:v>124.00838159204167</c:v>
                </c:pt>
                <c:pt idx="681">
                  <c:v>124.00867364083076</c:v>
                </c:pt>
                <c:pt idx="682">
                  <c:v>124.00896568565096</c:v>
                </c:pt>
                <c:pt idx="683">
                  <c:v>124.00925772650233</c:v>
                </c:pt>
                <c:pt idx="684">
                  <c:v>124.00954976338483</c:v>
                </c:pt>
                <c:pt idx="685">
                  <c:v>124.00984179629853</c:v>
                </c:pt>
                <c:pt idx="686">
                  <c:v>124.01013382524344</c:v>
                </c:pt>
                <c:pt idx="687">
                  <c:v>124.01042585021958</c:v>
                </c:pt>
                <c:pt idx="688">
                  <c:v>124.01071787122697</c:v>
                </c:pt>
                <c:pt idx="689">
                  <c:v>124.01100988826565</c:v>
                </c:pt>
                <c:pt idx="690">
                  <c:v>124.01130190133564</c:v>
                </c:pt>
                <c:pt idx="691">
                  <c:v>124.01159391043694</c:v>
                </c:pt>
                <c:pt idx="692">
                  <c:v>124.01188591556959</c:v>
                </c:pt>
                <c:pt idx="693">
                  <c:v>124.01217791673363</c:v>
                </c:pt>
                <c:pt idx="694">
                  <c:v>124.01246991392905</c:v>
                </c:pt>
                <c:pt idx="695">
                  <c:v>124.01276190715592</c:v>
                </c:pt>
                <c:pt idx="696">
                  <c:v>124.01305389641421</c:v>
                </c:pt>
                <c:pt idx="697">
                  <c:v>124.01334588170397</c:v>
                </c:pt>
                <c:pt idx="698">
                  <c:v>124.01363786302524</c:v>
                </c:pt>
                <c:pt idx="699">
                  <c:v>124.01392984037801</c:v>
                </c:pt>
                <c:pt idx="700">
                  <c:v>124.01422181376233</c:v>
                </c:pt>
                <c:pt idx="701">
                  <c:v>124.0145137831782</c:v>
                </c:pt>
                <c:pt idx="702">
                  <c:v>124.01480574862566</c:v>
                </c:pt>
                <c:pt idx="703">
                  <c:v>124.01509771010473</c:v>
                </c:pt>
                <c:pt idx="704">
                  <c:v>124.01538966761544</c:v>
                </c:pt>
                <c:pt idx="705">
                  <c:v>124.01568162115778</c:v>
                </c:pt>
                <c:pt idx="706">
                  <c:v>124.01597357073183</c:v>
                </c:pt>
                <c:pt idx="707">
                  <c:v>124.01626551633757</c:v>
                </c:pt>
                <c:pt idx="708">
                  <c:v>124.01655745797504</c:v>
                </c:pt>
                <c:pt idx="709">
                  <c:v>124.01684939564424</c:v>
                </c:pt>
                <c:pt idx="710">
                  <c:v>124.01714132934525</c:v>
                </c:pt>
                <c:pt idx="711">
                  <c:v>124.01743325907803</c:v>
                </c:pt>
                <c:pt idx="712">
                  <c:v>124.01772518484263</c:v>
                </c:pt>
                <c:pt idx="713">
                  <c:v>124.01801710663909</c:v>
                </c:pt>
                <c:pt idx="714">
                  <c:v>124.0183090244674</c:v>
                </c:pt>
                <c:pt idx="715">
                  <c:v>124.01860093832761</c:v>
                </c:pt>
                <c:pt idx="716">
                  <c:v>124.01889284821974</c:v>
                </c:pt>
                <c:pt idx="717">
                  <c:v>124.01918475414381</c:v>
                </c:pt>
                <c:pt idx="718">
                  <c:v>124.01947665609981</c:v>
                </c:pt>
                <c:pt idx="719">
                  <c:v>124.01976855408782</c:v>
                </c:pt>
                <c:pt idx="720">
                  <c:v>124.02006044810784</c:v>
                </c:pt>
                <c:pt idx="721">
                  <c:v>124.02035233815987</c:v>
                </c:pt>
                <c:pt idx="722">
                  <c:v>124.02064422424397</c:v>
                </c:pt>
                <c:pt idx="723">
                  <c:v>124.02093610636015</c:v>
                </c:pt>
                <c:pt idx="724">
                  <c:v>124.02122798450844</c:v>
                </c:pt>
                <c:pt idx="725">
                  <c:v>124.02151985868883</c:v>
                </c:pt>
                <c:pt idx="726">
                  <c:v>124.0218117289014</c:v>
                </c:pt>
                <c:pt idx="727">
                  <c:v>124.02210359514612</c:v>
                </c:pt>
                <c:pt idx="728">
                  <c:v>124.02239545742303</c:v>
                </c:pt>
                <c:pt idx="729">
                  <c:v>124.02268731573217</c:v>
                </c:pt>
                <c:pt idx="730">
                  <c:v>124.02297917007357</c:v>
                </c:pt>
                <c:pt idx="731">
                  <c:v>124.02327102044723</c:v>
                </c:pt>
                <c:pt idx="732">
                  <c:v>124.02356286685315</c:v>
                </c:pt>
                <c:pt idx="733">
                  <c:v>124.02385470929141</c:v>
                </c:pt>
                <c:pt idx="734">
                  <c:v>124.02414654776202</c:v>
                </c:pt>
                <c:pt idx="735">
                  <c:v>124.02443838226495</c:v>
                </c:pt>
                <c:pt idx="736">
                  <c:v>124.02473021280029</c:v>
                </c:pt>
                <c:pt idx="737">
                  <c:v>124.02502203936804</c:v>
                </c:pt>
                <c:pt idx="738">
                  <c:v>124.0253138619682</c:v>
                </c:pt>
                <c:pt idx="739">
                  <c:v>124.02560568060083</c:v>
                </c:pt>
                <c:pt idx="740">
                  <c:v>124.02589749526594</c:v>
                </c:pt>
                <c:pt idx="741">
                  <c:v>124.02618930596354</c:v>
                </c:pt>
                <c:pt idx="742">
                  <c:v>124.02648111269367</c:v>
                </c:pt>
                <c:pt idx="743">
                  <c:v>124.02677291545635</c:v>
                </c:pt>
                <c:pt idx="744">
                  <c:v>124.02706471425161</c:v>
                </c:pt>
                <c:pt idx="745">
                  <c:v>124.02735650907945</c:v>
                </c:pt>
                <c:pt idx="746">
                  <c:v>124.02764829993991</c:v>
                </c:pt>
                <c:pt idx="747">
                  <c:v>124.02794008683301</c:v>
                </c:pt>
                <c:pt idx="748">
                  <c:v>124.02823186975878</c:v>
                </c:pt>
                <c:pt idx="749">
                  <c:v>124.02852364871724</c:v>
                </c:pt>
                <c:pt idx="750">
                  <c:v>124.02881542370842</c:v>
                </c:pt>
                <c:pt idx="751">
                  <c:v>124.02910719473233</c:v>
                </c:pt>
                <c:pt idx="752">
                  <c:v>124.029398961789</c:v>
                </c:pt>
                <c:pt idx="753">
                  <c:v>124.02969072487845</c:v>
                </c:pt>
                <c:pt idx="754">
                  <c:v>124.02998248400071</c:v>
                </c:pt>
                <c:pt idx="755">
                  <c:v>124.0302742391558</c:v>
                </c:pt>
                <c:pt idx="756">
                  <c:v>124.03056599034373</c:v>
                </c:pt>
                <c:pt idx="757">
                  <c:v>124.03085773756456</c:v>
                </c:pt>
                <c:pt idx="758">
                  <c:v>124.03114948081827</c:v>
                </c:pt>
                <c:pt idx="759">
                  <c:v>124.03144122010491</c:v>
                </c:pt>
                <c:pt idx="760">
                  <c:v>124.03173295542449</c:v>
                </c:pt>
                <c:pt idx="761">
                  <c:v>124.03202468677705</c:v>
                </c:pt>
                <c:pt idx="762">
                  <c:v>124.03231641416261</c:v>
                </c:pt>
                <c:pt idx="763">
                  <c:v>124.03260813758118</c:v>
                </c:pt>
                <c:pt idx="764">
                  <c:v>124.03289985703279</c:v>
                </c:pt>
                <c:pt idx="765">
                  <c:v>124.03319157251748</c:v>
                </c:pt>
                <c:pt idx="766">
                  <c:v>124.03348328403524</c:v>
                </c:pt>
                <c:pt idx="767">
                  <c:v>124.03377499158613</c:v>
                </c:pt>
                <c:pt idx="768">
                  <c:v>124.03406669517014</c:v>
                </c:pt>
                <c:pt idx="769">
                  <c:v>124.0343583947873</c:v>
                </c:pt>
                <c:pt idx="770">
                  <c:v>124.03465009043765</c:v>
                </c:pt>
                <c:pt idx="771">
                  <c:v>124.03494178212122</c:v>
                </c:pt>
                <c:pt idx="772">
                  <c:v>124.035233469838</c:v>
                </c:pt>
                <c:pt idx="773">
                  <c:v>124.03552515358804</c:v>
                </c:pt>
                <c:pt idx="774">
                  <c:v>124.03581683337136</c:v>
                </c:pt>
                <c:pt idx="775">
                  <c:v>124.03610850918798</c:v>
                </c:pt>
                <c:pt idx="776">
                  <c:v>124.03640018103792</c:v>
                </c:pt>
                <c:pt idx="777">
                  <c:v>124.03669184892121</c:v>
                </c:pt>
                <c:pt idx="778">
                  <c:v>124.03698351283785</c:v>
                </c:pt>
                <c:pt idx="779">
                  <c:v>124.03727517278791</c:v>
                </c:pt>
                <c:pt idx="780">
                  <c:v>124.03756682877136</c:v>
                </c:pt>
                <c:pt idx="781">
                  <c:v>124.03785848078827</c:v>
                </c:pt>
                <c:pt idx="782">
                  <c:v>124.03815012883864</c:v>
                </c:pt>
                <c:pt idx="783">
                  <c:v>124.03844177292251</c:v>
                </c:pt>
                <c:pt idx="784">
                  <c:v>124.03873341303988</c:v>
                </c:pt>
                <c:pt idx="785">
                  <c:v>124.03902504919078</c:v>
                </c:pt>
                <c:pt idx="786">
                  <c:v>124.03931668137524</c:v>
                </c:pt>
                <c:pt idx="787">
                  <c:v>124.03960830959329</c:v>
                </c:pt>
                <c:pt idx="788">
                  <c:v>124.03989993384494</c:v>
                </c:pt>
                <c:pt idx="789">
                  <c:v>124.04019155413022</c:v>
                </c:pt>
                <c:pt idx="790">
                  <c:v>124.04048317044915</c:v>
                </c:pt>
                <c:pt idx="791">
                  <c:v>124.04077478280175</c:v>
                </c:pt>
                <c:pt idx="792">
                  <c:v>124.04106639118805</c:v>
                </c:pt>
                <c:pt idx="793">
                  <c:v>124.04135799560807</c:v>
                </c:pt>
                <c:pt idx="794">
                  <c:v>124.04164959606183</c:v>
                </c:pt>
                <c:pt idx="795">
                  <c:v>124.04194119254936</c:v>
                </c:pt>
                <c:pt idx="796">
                  <c:v>124.04223278507069</c:v>
                </c:pt>
                <c:pt idx="797">
                  <c:v>124.04252437362585</c:v>
                </c:pt>
                <c:pt idx="798">
                  <c:v>124.04281595821485</c:v>
                </c:pt>
                <c:pt idx="799">
                  <c:v>124.0431075388377</c:v>
                </c:pt>
                <c:pt idx="800">
                  <c:v>124.04339911549444</c:v>
                </c:pt>
                <c:pt idx="801">
                  <c:v>124.04369068818509</c:v>
                </c:pt>
                <c:pt idx="802">
                  <c:v>124.04398225690967</c:v>
                </c:pt>
                <c:pt idx="803">
                  <c:v>124.04427382166821</c:v>
                </c:pt>
                <c:pt idx="804">
                  <c:v>124.04456538246075</c:v>
                </c:pt>
                <c:pt idx="805">
                  <c:v>124.04485693928727</c:v>
                </c:pt>
                <c:pt idx="806">
                  <c:v>124.04514849214782</c:v>
                </c:pt>
                <c:pt idx="807">
                  <c:v>124.04544004104241</c:v>
                </c:pt>
                <c:pt idx="808">
                  <c:v>124.04573158597108</c:v>
                </c:pt>
                <c:pt idx="809">
                  <c:v>124.04602312693386</c:v>
                </c:pt>
                <c:pt idx="810">
                  <c:v>124.04631466393077</c:v>
                </c:pt>
                <c:pt idx="811">
                  <c:v>124.04660619696182</c:v>
                </c:pt>
                <c:pt idx="812">
                  <c:v>124.04689772602703</c:v>
                </c:pt>
                <c:pt idx="813">
                  <c:v>124.04718925112644</c:v>
                </c:pt>
                <c:pt idx="814">
                  <c:v>124.04748077226004</c:v>
                </c:pt>
                <c:pt idx="815">
                  <c:v>124.04777228942791</c:v>
                </c:pt>
                <c:pt idx="816">
                  <c:v>124.04806380263004</c:v>
                </c:pt>
                <c:pt idx="817">
                  <c:v>124.04835531186644</c:v>
                </c:pt>
                <c:pt idx="818">
                  <c:v>124.04864681713718</c:v>
                </c:pt>
                <c:pt idx="819">
                  <c:v>124.04893831844223</c:v>
                </c:pt>
                <c:pt idx="820">
                  <c:v>124.04922981578162</c:v>
                </c:pt>
                <c:pt idx="821">
                  <c:v>124.04952130915542</c:v>
                </c:pt>
                <c:pt idx="822">
                  <c:v>124.04981279856361</c:v>
                </c:pt>
                <c:pt idx="823">
                  <c:v>124.05010428400621</c:v>
                </c:pt>
                <c:pt idx="824">
                  <c:v>124.05039576548329</c:v>
                </c:pt>
                <c:pt idx="825">
                  <c:v>124.05068724299483</c:v>
                </c:pt>
                <c:pt idx="826">
                  <c:v>124.05097871654088</c:v>
                </c:pt>
                <c:pt idx="827">
                  <c:v>124.05127018612144</c:v>
                </c:pt>
                <c:pt idx="828">
                  <c:v>124.05156165173655</c:v>
                </c:pt>
                <c:pt idx="829">
                  <c:v>124.05185311338623</c:v>
                </c:pt>
                <c:pt idx="830">
                  <c:v>124.05214457107049</c:v>
                </c:pt>
                <c:pt idx="831">
                  <c:v>124.05243602478937</c:v>
                </c:pt>
                <c:pt idx="832">
                  <c:v>124.05272747454289</c:v>
                </c:pt>
                <c:pt idx="833">
                  <c:v>124.05301892033107</c:v>
                </c:pt>
                <c:pt idx="834">
                  <c:v>124.05331036215395</c:v>
                </c:pt>
                <c:pt idx="835">
                  <c:v>124.05360180001152</c:v>
                </c:pt>
                <c:pt idx="836">
                  <c:v>124.05389323390384</c:v>
                </c:pt>
                <c:pt idx="837">
                  <c:v>124.0541846638309</c:v>
                </c:pt>
                <c:pt idx="838">
                  <c:v>124.05447608979274</c:v>
                </c:pt>
                <c:pt idx="839">
                  <c:v>124.05476751178939</c:v>
                </c:pt>
                <c:pt idx="840">
                  <c:v>124.05505892982086</c:v>
                </c:pt>
                <c:pt idx="841">
                  <c:v>124.0553503438872</c:v>
                </c:pt>
                <c:pt idx="842">
                  <c:v>124.0556417539884</c:v>
                </c:pt>
                <c:pt idx="843">
                  <c:v>124.0559331601245</c:v>
                </c:pt>
                <c:pt idx="844">
                  <c:v>124.0562245622955</c:v>
                </c:pt>
                <c:pt idx="845">
                  <c:v>124.05651596050146</c:v>
                </c:pt>
                <c:pt idx="846">
                  <c:v>124.05680735474238</c:v>
                </c:pt>
                <c:pt idx="847">
                  <c:v>124.05709874501831</c:v>
                </c:pt>
                <c:pt idx="848">
                  <c:v>124.05739013132924</c:v>
                </c:pt>
                <c:pt idx="849">
                  <c:v>124.05768151367522</c:v>
                </c:pt>
                <c:pt idx="850">
                  <c:v>124.05797289205626</c:v>
                </c:pt>
                <c:pt idx="851">
                  <c:v>124.05826426647238</c:v>
                </c:pt>
                <c:pt idx="852">
                  <c:v>124.0585556369236</c:v>
                </c:pt>
                <c:pt idx="853">
                  <c:v>124.05884700340995</c:v>
                </c:pt>
                <c:pt idx="854">
                  <c:v>124.05913836593145</c:v>
                </c:pt>
                <c:pt idx="855">
                  <c:v>124.05942972448814</c:v>
                </c:pt>
                <c:pt idx="856">
                  <c:v>124.05972107908003</c:v>
                </c:pt>
                <c:pt idx="857">
                  <c:v>124.06001242970716</c:v>
                </c:pt>
                <c:pt idx="858">
                  <c:v>124.06030377636954</c:v>
                </c:pt>
                <c:pt idx="859">
                  <c:v>124.06059511906719</c:v>
                </c:pt>
                <c:pt idx="860">
                  <c:v>124.06088645780011</c:v>
                </c:pt>
                <c:pt idx="861">
                  <c:v>124.06117779256837</c:v>
                </c:pt>
                <c:pt idx="862">
                  <c:v>124.06146912337198</c:v>
                </c:pt>
                <c:pt idx="863">
                  <c:v>124.06176045021095</c:v>
                </c:pt>
                <c:pt idx="864">
                  <c:v>124.06205177308532</c:v>
                </c:pt>
                <c:pt idx="865">
                  <c:v>124.06234309199509</c:v>
                </c:pt>
                <c:pt idx="866">
                  <c:v>124.0626344069403</c:v>
                </c:pt>
                <c:pt idx="867">
                  <c:v>124.06292571792098</c:v>
                </c:pt>
                <c:pt idx="868">
                  <c:v>124.06321702493715</c:v>
                </c:pt>
                <c:pt idx="869">
                  <c:v>124.06350832798881</c:v>
                </c:pt>
                <c:pt idx="870">
                  <c:v>124.06379962707602</c:v>
                </c:pt>
                <c:pt idx="871">
                  <c:v>124.06409092219877</c:v>
                </c:pt>
                <c:pt idx="872">
                  <c:v>124.06438221335711</c:v>
                </c:pt>
                <c:pt idx="873">
                  <c:v>124.06467350055102</c:v>
                </c:pt>
                <c:pt idx="874">
                  <c:v>124.0649647837806</c:v>
                </c:pt>
                <c:pt idx="875">
                  <c:v>124.06525606304581</c:v>
                </c:pt>
                <c:pt idx="876">
                  <c:v>124.06554733834669</c:v>
                </c:pt>
                <c:pt idx="877">
                  <c:v>124.06583860968327</c:v>
                </c:pt>
                <c:pt idx="878">
                  <c:v>124.06612987705557</c:v>
                </c:pt>
                <c:pt idx="879">
                  <c:v>124.0664211404636</c:v>
                </c:pt>
                <c:pt idx="880">
                  <c:v>124.06671239990742</c:v>
                </c:pt>
                <c:pt idx="881">
                  <c:v>124.06700365538701</c:v>
                </c:pt>
                <c:pt idx="882">
                  <c:v>124.06729490690243</c:v>
                </c:pt>
                <c:pt idx="883">
                  <c:v>124.06758615445369</c:v>
                </c:pt>
                <c:pt idx="884">
                  <c:v>124.06787739804081</c:v>
                </c:pt>
                <c:pt idx="885">
                  <c:v>124.06816863766379</c:v>
                </c:pt>
                <c:pt idx="886">
                  <c:v>124.06845987332269</c:v>
                </c:pt>
                <c:pt idx="887">
                  <c:v>124.06875110501753</c:v>
                </c:pt>
                <c:pt idx="888">
                  <c:v>124.06904233274832</c:v>
                </c:pt>
                <c:pt idx="889">
                  <c:v>124.06933355651509</c:v>
                </c:pt>
                <c:pt idx="890">
                  <c:v>124.06962477631787</c:v>
                </c:pt>
                <c:pt idx="891">
                  <c:v>124.06991599215665</c:v>
                </c:pt>
                <c:pt idx="892">
                  <c:v>124.0702072040315</c:v>
                </c:pt>
                <c:pt idx="893">
                  <c:v>124.07049841194241</c:v>
                </c:pt>
                <c:pt idx="894">
                  <c:v>124.07078961588942</c:v>
                </c:pt>
                <c:pt idx="895">
                  <c:v>124.07108081587255</c:v>
                </c:pt>
                <c:pt idx="896">
                  <c:v>124.07137201189182</c:v>
                </c:pt>
                <c:pt idx="897">
                  <c:v>124.07166320394728</c:v>
                </c:pt>
                <c:pt idx="898">
                  <c:v>124.0719543920389</c:v>
                </c:pt>
                <c:pt idx="899">
                  <c:v>124.07224557616675</c:v>
                </c:pt>
                <c:pt idx="900">
                  <c:v>124.07253675633082</c:v>
                </c:pt>
                <c:pt idx="901">
                  <c:v>124.07282793253115</c:v>
                </c:pt>
                <c:pt idx="902">
                  <c:v>124.07311910476778</c:v>
                </c:pt>
                <c:pt idx="903">
                  <c:v>124.07341027304072</c:v>
                </c:pt>
                <c:pt idx="904">
                  <c:v>124.07370143734998</c:v>
                </c:pt>
                <c:pt idx="905">
                  <c:v>124.07399259769559</c:v>
                </c:pt>
                <c:pt idx="906">
                  <c:v>124.07428375407758</c:v>
                </c:pt>
                <c:pt idx="907">
                  <c:v>124.07457490649598</c:v>
                </c:pt>
                <c:pt idx="908">
                  <c:v>124.0748660549508</c:v>
                </c:pt>
                <c:pt idx="909">
                  <c:v>124.07515719944207</c:v>
                </c:pt>
                <c:pt idx="910">
                  <c:v>124.07544833996982</c:v>
                </c:pt>
                <c:pt idx="911">
                  <c:v>124.07573947653405</c:v>
                </c:pt>
                <c:pt idx="912">
                  <c:v>124.07603060913482</c:v>
                </c:pt>
                <c:pt idx="913">
                  <c:v>124.0763217377721</c:v>
                </c:pt>
                <c:pt idx="914">
                  <c:v>124.07661286244598</c:v>
                </c:pt>
                <c:pt idx="915">
                  <c:v>124.07690398315644</c:v>
                </c:pt>
                <c:pt idx="916">
                  <c:v>124.07719509990352</c:v>
                </c:pt>
                <c:pt idx="917">
                  <c:v>124.07748621268722</c:v>
                </c:pt>
                <c:pt idx="918">
                  <c:v>124.07777732150758</c:v>
                </c:pt>
                <c:pt idx="919">
                  <c:v>124.07806842636464</c:v>
                </c:pt>
                <c:pt idx="920">
                  <c:v>124.0783595272584</c:v>
                </c:pt>
                <c:pt idx="921">
                  <c:v>124.0786506241889</c:v>
                </c:pt>
                <c:pt idx="922">
                  <c:v>124.07894171715613</c:v>
                </c:pt>
                <c:pt idx="923">
                  <c:v>124.07923280616015</c:v>
                </c:pt>
                <c:pt idx="924">
                  <c:v>124.07952389120098</c:v>
                </c:pt>
                <c:pt idx="925">
                  <c:v>124.07981497227863</c:v>
                </c:pt>
                <c:pt idx="926">
                  <c:v>124.08010604939312</c:v>
                </c:pt>
                <c:pt idx="927">
                  <c:v>124.08039712254448</c:v>
                </c:pt>
                <c:pt idx="928">
                  <c:v>124.08068819173275</c:v>
                </c:pt>
                <c:pt idx="929">
                  <c:v>124.08097925695792</c:v>
                </c:pt>
                <c:pt idx="930">
                  <c:v>124.08127031822004</c:v>
                </c:pt>
                <c:pt idx="931">
                  <c:v>124.08156137551912</c:v>
                </c:pt>
                <c:pt idx="932">
                  <c:v>124.08185242885519</c:v>
                </c:pt>
                <c:pt idx="933">
                  <c:v>124.08214347822829</c:v>
                </c:pt>
                <c:pt idx="934">
                  <c:v>124.08243452363841</c:v>
                </c:pt>
                <c:pt idx="935">
                  <c:v>124.0827255650856</c:v>
                </c:pt>
                <c:pt idx="936">
                  <c:v>124.08301660256987</c:v>
                </c:pt>
                <c:pt idx="937">
                  <c:v>124.08330763609125</c:v>
                </c:pt>
                <c:pt idx="938">
                  <c:v>124.08359866564976</c:v>
                </c:pt>
                <c:pt idx="939">
                  <c:v>124.08388969124542</c:v>
                </c:pt>
                <c:pt idx="940">
                  <c:v>124.08418071287828</c:v>
                </c:pt>
                <c:pt idx="941">
                  <c:v>124.08447173054832</c:v>
                </c:pt>
                <c:pt idx="942">
                  <c:v>124.08476274425557</c:v>
                </c:pt>
                <c:pt idx="943">
                  <c:v>124.08505375400009</c:v>
                </c:pt>
                <c:pt idx="944">
                  <c:v>124.08534475978186</c:v>
                </c:pt>
                <c:pt idx="945">
                  <c:v>124.08563576160094</c:v>
                </c:pt>
                <c:pt idx="946">
                  <c:v>124.08592675945734</c:v>
                </c:pt>
                <c:pt idx="947">
                  <c:v>124.08621775335108</c:v>
                </c:pt>
                <c:pt idx="948">
                  <c:v>124.08650874328218</c:v>
                </c:pt>
                <c:pt idx="949">
                  <c:v>124.08679972925069</c:v>
                </c:pt>
                <c:pt idx="950">
                  <c:v>124.08709071125659</c:v>
                </c:pt>
                <c:pt idx="951">
                  <c:v>124.08738168929993</c:v>
                </c:pt>
                <c:pt idx="952">
                  <c:v>124.08767266338074</c:v>
                </c:pt>
                <c:pt idx="953">
                  <c:v>124.08796363349902</c:v>
                </c:pt>
                <c:pt idx="954">
                  <c:v>124.08825459965482</c:v>
                </c:pt>
                <c:pt idx="955">
                  <c:v>124.08854556184815</c:v>
                </c:pt>
                <c:pt idx="956">
                  <c:v>124.08883652007903</c:v>
                </c:pt>
                <c:pt idx="957">
                  <c:v>124.08912747434748</c:v>
                </c:pt>
                <c:pt idx="958">
                  <c:v>124.08941842465353</c:v>
                </c:pt>
                <c:pt idx="959">
                  <c:v>124.08970937099723</c:v>
                </c:pt>
                <c:pt idx="960">
                  <c:v>124.09000031337854</c:v>
                </c:pt>
                <c:pt idx="961">
                  <c:v>124.09029125179755</c:v>
                </c:pt>
                <c:pt idx="962">
                  <c:v>124.09058218625425</c:v>
                </c:pt>
                <c:pt idx="963">
                  <c:v>124.09087311674867</c:v>
                </c:pt>
                <c:pt idx="964">
                  <c:v>124.09116404328083</c:v>
                </c:pt>
                <c:pt idx="965">
                  <c:v>124.09145496585074</c:v>
                </c:pt>
                <c:pt idx="966">
                  <c:v>124.09174588445846</c:v>
                </c:pt>
                <c:pt idx="967">
                  <c:v>124.09203679910398</c:v>
                </c:pt>
                <c:pt idx="968">
                  <c:v>124.09232770978736</c:v>
                </c:pt>
                <c:pt idx="969">
                  <c:v>124.09261861650856</c:v>
                </c:pt>
                <c:pt idx="970">
                  <c:v>124.09290951926766</c:v>
                </c:pt>
                <c:pt idx="971">
                  <c:v>124.09320041806467</c:v>
                </c:pt>
                <c:pt idx="972">
                  <c:v>124.0934913128996</c:v>
                </c:pt>
                <c:pt idx="973">
                  <c:v>124.09378220377251</c:v>
                </c:pt>
                <c:pt idx="974">
                  <c:v>124.09407309068338</c:v>
                </c:pt>
                <c:pt idx="975">
                  <c:v>124.09436397363224</c:v>
                </c:pt>
                <c:pt idx="976">
                  <c:v>124.09465485261914</c:v>
                </c:pt>
                <c:pt idx="977">
                  <c:v>124.09494572764409</c:v>
                </c:pt>
                <c:pt idx="978">
                  <c:v>124.0952365987071</c:v>
                </c:pt>
                <c:pt idx="979">
                  <c:v>124.0955274658082</c:v>
                </c:pt>
                <c:pt idx="980">
                  <c:v>124.09581832894743</c:v>
                </c:pt>
                <c:pt idx="981">
                  <c:v>124.0961091881248</c:v>
                </c:pt>
                <c:pt idx="982">
                  <c:v>124.09640004334034</c:v>
                </c:pt>
                <c:pt idx="983">
                  <c:v>124.09669089459406</c:v>
                </c:pt>
                <c:pt idx="984">
                  <c:v>124.096981741886</c:v>
                </c:pt>
                <c:pt idx="985">
                  <c:v>124.09727258521616</c:v>
                </c:pt>
                <c:pt idx="986">
                  <c:v>124.09756342458459</c:v>
                </c:pt>
                <c:pt idx="987">
                  <c:v>124.09785425999129</c:v>
                </c:pt>
                <c:pt idx="988">
                  <c:v>124.09814509143634</c:v>
                </c:pt>
                <c:pt idx="989">
                  <c:v>124.09843591891968</c:v>
                </c:pt>
                <c:pt idx="990">
                  <c:v>124.09872674244137</c:v>
                </c:pt>
                <c:pt idx="991">
                  <c:v>124.09901756200146</c:v>
                </c:pt>
                <c:pt idx="992">
                  <c:v>124.09930837759995</c:v>
                </c:pt>
                <c:pt idx="993">
                  <c:v>124.09959918923684</c:v>
                </c:pt>
                <c:pt idx="994">
                  <c:v>124.09988999691221</c:v>
                </c:pt>
                <c:pt idx="995">
                  <c:v>124.10018080062603</c:v>
                </c:pt>
                <c:pt idx="996">
                  <c:v>124.10047160037836</c:v>
                </c:pt>
                <c:pt idx="997">
                  <c:v>124.10076239616919</c:v>
                </c:pt>
                <c:pt idx="998">
                  <c:v>124.10105318799857</c:v>
                </c:pt>
                <c:pt idx="999">
                  <c:v>124.10134397586651</c:v>
                </c:pt>
                <c:pt idx="1000">
                  <c:v>124.10163475977305</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33.100100000000204</c:v>
                </c:pt>
                <c:pt idx="513">
                  <c:v>33.100200000000207</c:v>
                </c:pt>
                <c:pt idx="514">
                  <c:v>33.10030000000021</c:v>
                </c:pt>
                <c:pt idx="515">
                  <c:v>33.100400000000214</c:v>
                </c:pt>
                <c:pt idx="516">
                  <c:v>33.100500000000217</c:v>
                </c:pt>
                <c:pt idx="517">
                  <c:v>33.10060000000022</c:v>
                </c:pt>
                <c:pt idx="518">
                  <c:v>33.100700000000224</c:v>
                </c:pt>
                <c:pt idx="519">
                  <c:v>33.100800000000227</c:v>
                </c:pt>
                <c:pt idx="520">
                  <c:v>33.10090000000023</c:v>
                </c:pt>
                <c:pt idx="521">
                  <c:v>33.101000000000234</c:v>
                </c:pt>
                <c:pt idx="522">
                  <c:v>33.101100000000237</c:v>
                </c:pt>
                <c:pt idx="523">
                  <c:v>33.10120000000024</c:v>
                </c:pt>
                <c:pt idx="524">
                  <c:v>33.101300000000244</c:v>
                </c:pt>
                <c:pt idx="525">
                  <c:v>33.101400000000247</c:v>
                </c:pt>
                <c:pt idx="526">
                  <c:v>33.10150000000025</c:v>
                </c:pt>
                <c:pt idx="527">
                  <c:v>33.101600000000253</c:v>
                </c:pt>
                <c:pt idx="528">
                  <c:v>33.101700000000257</c:v>
                </c:pt>
                <c:pt idx="529">
                  <c:v>33.10180000000026</c:v>
                </c:pt>
                <c:pt idx="530">
                  <c:v>33.101900000000263</c:v>
                </c:pt>
                <c:pt idx="531">
                  <c:v>33.102000000000267</c:v>
                </c:pt>
                <c:pt idx="532">
                  <c:v>33.10210000000027</c:v>
                </c:pt>
                <c:pt idx="533">
                  <c:v>33.102200000000273</c:v>
                </c:pt>
                <c:pt idx="534">
                  <c:v>33.102300000000277</c:v>
                </c:pt>
                <c:pt idx="535">
                  <c:v>33.10240000000028</c:v>
                </c:pt>
                <c:pt idx="536">
                  <c:v>33.102500000000283</c:v>
                </c:pt>
                <c:pt idx="537">
                  <c:v>33.102600000000287</c:v>
                </c:pt>
                <c:pt idx="538">
                  <c:v>33.10270000000029</c:v>
                </c:pt>
                <c:pt idx="539">
                  <c:v>33.102800000000293</c:v>
                </c:pt>
                <c:pt idx="540">
                  <c:v>33.102900000000297</c:v>
                </c:pt>
                <c:pt idx="541">
                  <c:v>33.1030000000003</c:v>
                </c:pt>
                <c:pt idx="542">
                  <c:v>33.103100000000303</c:v>
                </c:pt>
                <c:pt idx="543">
                  <c:v>33.103200000000307</c:v>
                </c:pt>
                <c:pt idx="544">
                  <c:v>33.10330000000031</c:v>
                </c:pt>
                <c:pt idx="545">
                  <c:v>33.103400000000313</c:v>
                </c:pt>
                <c:pt idx="546">
                  <c:v>33.103500000000317</c:v>
                </c:pt>
                <c:pt idx="547">
                  <c:v>33.10360000000032</c:v>
                </c:pt>
                <c:pt idx="548">
                  <c:v>33.103700000000323</c:v>
                </c:pt>
                <c:pt idx="549">
                  <c:v>33.103800000000327</c:v>
                </c:pt>
                <c:pt idx="550">
                  <c:v>33.10390000000033</c:v>
                </c:pt>
                <c:pt idx="551">
                  <c:v>33.104000000000333</c:v>
                </c:pt>
                <c:pt idx="552">
                  <c:v>33.104100000000336</c:v>
                </c:pt>
                <c:pt idx="553">
                  <c:v>33.10420000000034</c:v>
                </c:pt>
                <c:pt idx="554">
                  <c:v>33.104300000000343</c:v>
                </c:pt>
                <c:pt idx="555">
                  <c:v>33.104400000000346</c:v>
                </c:pt>
                <c:pt idx="556">
                  <c:v>33.10450000000035</c:v>
                </c:pt>
                <c:pt idx="557">
                  <c:v>33.104600000000353</c:v>
                </c:pt>
                <c:pt idx="558">
                  <c:v>33.104700000000356</c:v>
                </c:pt>
                <c:pt idx="559">
                  <c:v>33.10480000000036</c:v>
                </c:pt>
                <c:pt idx="560">
                  <c:v>33.104900000000363</c:v>
                </c:pt>
                <c:pt idx="561">
                  <c:v>33.105000000000366</c:v>
                </c:pt>
                <c:pt idx="562">
                  <c:v>33.10510000000037</c:v>
                </c:pt>
                <c:pt idx="563">
                  <c:v>33.105200000000373</c:v>
                </c:pt>
                <c:pt idx="564">
                  <c:v>33.105300000000376</c:v>
                </c:pt>
                <c:pt idx="565">
                  <c:v>33.10540000000038</c:v>
                </c:pt>
                <c:pt idx="566">
                  <c:v>33.105500000000383</c:v>
                </c:pt>
                <c:pt idx="567">
                  <c:v>33.105600000000386</c:v>
                </c:pt>
                <c:pt idx="568">
                  <c:v>33.10570000000039</c:v>
                </c:pt>
                <c:pt idx="569">
                  <c:v>33.105800000000393</c:v>
                </c:pt>
                <c:pt idx="570">
                  <c:v>33.105900000000396</c:v>
                </c:pt>
                <c:pt idx="571">
                  <c:v>33.1060000000004</c:v>
                </c:pt>
                <c:pt idx="572">
                  <c:v>33.106100000000403</c:v>
                </c:pt>
                <c:pt idx="573">
                  <c:v>33.106200000000406</c:v>
                </c:pt>
                <c:pt idx="574">
                  <c:v>33.10630000000041</c:v>
                </c:pt>
                <c:pt idx="575">
                  <c:v>33.106400000000413</c:v>
                </c:pt>
                <c:pt idx="576">
                  <c:v>33.106500000000416</c:v>
                </c:pt>
                <c:pt idx="577">
                  <c:v>33.106600000000419</c:v>
                </c:pt>
                <c:pt idx="578">
                  <c:v>33.106700000000423</c:v>
                </c:pt>
                <c:pt idx="579">
                  <c:v>33.106800000000426</c:v>
                </c:pt>
                <c:pt idx="580">
                  <c:v>33.106900000000429</c:v>
                </c:pt>
                <c:pt idx="581">
                  <c:v>33.107000000000433</c:v>
                </c:pt>
                <c:pt idx="582">
                  <c:v>33.107100000000436</c:v>
                </c:pt>
                <c:pt idx="583">
                  <c:v>33.107200000000439</c:v>
                </c:pt>
                <c:pt idx="584">
                  <c:v>33.107300000000443</c:v>
                </c:pt>
                <c:pt idx="585">
                  <c:v>33.107400000000446</c:v>
                </c:pt>
                <c:pt idx="586">
                  <c:v>33.107500000000449</c:v>
                </c:pt>
                <c:pt idx="587">
                  <c:v>33.107600000000453</c:v>
                </c:pt>
                <c:pt idx="588">
                  <c:v>33.107700000000456</c:v>
                </c:pt>
                <c:pt idx="589">
                  <c:v>33.107800000000459</c:v>
                </c:pt>
                <c:pt idx="590">
                  <c:v>33.107900000000463</c:v>
                </c:pt>
                <c:pt idx="591">
                  <c:v>33.108000000000466</c:v>
                </c:pt>
                <c:pt idx="592">
                  <c:v>33.108100000000469</c:v>
                </c:pt>
                <c:pt idx="593">
                  <c:v>33.108200000000473</c:v>
                </c:pt>
                <c:pt idx="594">
                  <c:v>33.108300000000476</c:v>
                </c:pt>
                <c:pt idx="595">
                  <c:v>33.108400000000479</c:v>
                </c:pt>
                <c:pt idx="596">
                  <c:v>33.108500000000483</c:v>
                </c:pt>
                <c:pt idx="597">
                  <c:v>33.108600000000486</c:v>
                </c:pt>
                <c:pt idx="598">
                  <c:v>33.108700000000489</c:v>
                </c:pt>
                <c:pt idx="599">
                  <c:v>33.108800000000493</c:v>
                </c:pt>
                <c:pt idx="600">
                  <c:v>33.108900000000496</c:v>
                </c:pt>
                <c:pt idx="601">
                  <c:v>33.109000000000499</c:v>
                </c:pt>
                <c:pt idx="602">
                  <c:v>33.109100000000502</c:v>
                </c:pt>
                <c:pt idx="603">
                  <c:v>33.109200000000506</c:v>
                </c:pt>
                <c:pt idx="604">
                  <c:v>33.109300000000509</c:v>
                </c:pt>
                <c:pt idx="605">
                  <c:v>33.109400000000512</c:v>
                </c:pt>
                <c:pt idx="606">
                  <c:v>33.109500000000516</c:v>
                </c:pt>
                <c:pt idx="607">
                  <c:v>33.109600000000519</c:v>
                </c:pt>
                <c:pt idx="608">
                  <c:v>33.109700000000522</c:v>
                </c:pt>
                <c:pt idx="609">
                  <c:v>33.109800000000526</c:v>
                </c:pt>
                <c:pt idx="610">
                  <c:v>33.109900000000529</c:v>
                </c:pt>
                <c:pt idx="611">
                  <c:v>33.110000000000532</c:v>
                </c:pt>
                <c:pt idx="612">
                  <c:v>33.110100000000536</c:v>
                </c:pt>
                <c:pt idx="613">
                  <c:v>33.110200000000539</c:v>
                </c:pt>
                <c:pt idx="614">
                  <c:v>33.110300000000542</c:v>
                </c:pt>
                <c:pt idx="615">
                  <c:v>33.110400000000546</c:v>
                </c:pt>
                <c:pt idx="616">
                  <c:v>33.110500000000549</c:v>
                </c:pt>
                <c:pt idx="617">
                  <c:v>33.110600000000552</c:v>
                </c:pt>
                <c:pt idx="618">
                  <c:v>33.110700000000556</c:v>
                </c:pt>
                <c:pt idx="619">
                  <c:v>33.110800000000559</c:v>
                </c:pt>
                <c:pt idx="620">
                  <c:v>33.110900000000562</c:v>
                </c:pt>
                <c:pt idx="621">
                  <c:v>33.111000000000566</c:v>
                </c:pt>
                <c:pt idx="622">
                  <c:v>33.111100000000569</c:v>
                </c:pt>
                <c:pt idx="623">
                  <c:v>33.111200000000572</c:v>
                </c:pt>
                <c:pt idx="624">
                  <c:v>33.111300000000575</c:v>
                </c:pt>
                <c:pt idx="625">
                  <c:v>33.111400000000579</c:v>
                </c:pt>
                <c:pt idx="626">
                  <c:v>33.111500000000582</c:v>
                </c:pt>
                <c:pt idx="627">
                  <c:v>33.111600000000585</c:v>
                </c:pt>
                <c:pt idx="628">
                  <c:v>33.111700000000589</c:v>
                </c:pt>
                <c:pt idx="629">
                  <c:v>33.111800000000592</c:v>
                </c:pt>
                <c:pt idx="630">
                  <c:v>33.111900000000595</c:v>
                </c:pt>
                <c:pt idx="631">
                  <c:v>33.112000000000599</c:v>
                </c:pt>
                <c:pt idx="632">
                  <c:v>33.112100000000602</c:v>
                </c:pt>
                <c:pt idx="633">
                  <c:v>33.112200000000605</c:v>
                </c:pt>
                <c:pt idx="634">
                  <c:v>33.112300000000609</c:v>
                </c:pt>
                <c:pt idx="635">
                  <c:v>33.112400000000612</c:v>
                </c:pt>
                <c:pt idx="636">
                  <c:v>33.112500000000615</c:v>
                </c:pt>
                <c:pt idx="637">
                  <c:v>33.112600000000619</c:v>
                </c:pt>
                <c:pt idx="638">
                  <c:v>33.112700000000622</c:v>
                </c:pt>
                <c:pt idx="639">
                  <c:v>33.112800000000625</c:v>
                </c:pt>
                <c:pt idx="640">
                  <c:v>33.112900000000629</c:v>
                </c:pt>
                <c:pt idx="641">
                  <c:v>33.113000000000632</c:v>
                </c:pt>
                <c:pt idx="642">
                  <c:v>33.113100000000635</c:v>
                </c:pt>
                <c:pt idx="643">
                  <c:v>33.113200000000639</c:v>
                </c:pt>
                <c:pt idx="644">
                  <c:v>33.113300000000642</c:v>
                </c:pt>
                <c:pt idx="645">
                  <c:v>33.113400000000645</c:v>
                </c:pt>
                <c:pt idx="646">
                  <c:v>33.113500000000649</c:v>
                </c:pt>
                <c:pt idx="647">
                  <c:v>33.113600000000652</c:v>
                </c:pt>
                <c:pt idx="648">
                  <c:v>33.113700000000655</c:v>
                </c:pt>
                <c:pt idx="649">
                  <c:v>33.113800000000658</c:v>
                </c:pt>
                <c:pt idx="650">
                  <c:v>33.113900000000662</c:v>
                </c:pt>
                <c:pt idx="651">
                  <c:v>33.114000000000665</c:v>
                </c:pt>
                <c:pt idx="652">
                  <c:v>33.114100000000668</c:v>
                </c:pt>
                <c:pt idx="653">
                  <c:v>33.114200000000672</c:v>
                </c:pt>
                <c:pt idx="654">
                  <c:v>33.114300000000675</c:v>
                </c:pt>
                <c:pt idx="655">
                  <c:v>33.114400000000678</c:v>
                </c:pt>
                <c:pt idx="656">
                  <c:v>33.114500000000682</c:v>
                </c:pt>
                <c:pt idx="657">
                  <c:v>33.114600000000685</c:v>
                </c:pt>
                <c:pt idx="658">
                  <c:v>33.114700000000688</c:v>
                </c:pt>
                <c:pt idx="659">
                  <c:v>33.114800000000692</c:v>
                </c:pt>
                <c:pt idx="660">
                  <c:v>33.114900000000695</c:v>
                </c:pt>
                <c:pt idx="661">
                  <c:v>33.115000000000698</c:v>
                </c:pt>
                <c:pt idx="662">
                  <c:v>33.115100000000702</c:v>
                </c:pt>
                <c:pt idx="663">
                  <c:v>33.115200000000705</c:v>
                </c:pt>
                <c:pt idx="664">
                  <c:v>33.115300000000708</c:v>
                </c:pt>
                <c:pt idx="665">
                  <c:v>33.115400000000712</c:v>
                </c:pt>
                <c:pt idx="666">
                  <c:v>33.115500000000715</c:v>
                </c:pt>
                <c:pt idx="667">
                  <c:v>33.115600000000718</c:v>
                </c:pt>
                <c:pt idx="668">
                  <c:v>33.115700000000722</c:v>
                </c:pt>
                <c:pt idx="669">
                  <c:v>33.115800000000725</c:v>
                </c:pt>
                <c:pt idx="670">
                  <c:v>33.115900000000728</c:v>
                </c:pt>
                <c:pt idx="671">
                  <c:v>33.116000000000732</c:v>
                </c:pt>
                <c:pt idx="672">
                  <c:v>33.116100000000735</c:v>
                </c:pt>
                <c:pt idx="673">
                  <c:v>33.116200000000738</c:v>
                </c:pt>
                <c:pt idx="674">
                  <c:v>33.116300000000741</c:v>
                </c:pt>
                <c:pt idx="675">
                  <c:v>33.116400000000745</c:v>
                </c:pt>
                <c:pt idx="676">
                  <c:v>33.116500000000748</c:v>
                </c:pt>
                <c:pt idx="677">
                  <c:v>33.116600000000751</c:v>
                </c:pt>
                <c:pt idx="678">
                  <c:v>33.116700000000755</c:v>
                </c:pt>
                <c:pt idx="679">
                  <c:v>33.116800000000758</c:v>
                </c:pt>
                <c:pt idx="680">
                  <c:v>33.116900000000761</c:v>
                </c:pt>
                <c:pt idx="681">
                  <c:v>33.117000000000765</c:v>
                </c:pt>
                <c:pt idx="682">
                  <c:v>33.117100000000768</c:v>
                </c:pt>
                <c:pt idx="683">
                  <c:v>33.117200000000771</c:v>
                </c:pt>
                <c:pt idx="684">
                  <c:v>33.117300000000775</c:v>
                </c:pt>
                <c:pt idx="685">
                  <c:v>33.117400000000778</c:v>
                </c:pt>
                <c:pt idx="686">
                  <c:v>33.117500000000781</c:v>
                </c:pt>
                <c:pt idx="687">
                  <c:v>33.117600000000785</c:v>
                </c:pt>
                <c:pt idx="688">
                  <c:v>33.117700000000788</c:v>
                </c:pt>
                <c:pt idx="689">
                  <c:v>33.117800000000791</c:v>
                </c:pt>
                <c:pt idx="690">
                  <c:v>33.117900000000795</c:v>
                </c:pt>
                <c:pt idx="691">
                  <c:v>33.118000000000798</c:v>
                </c:pt>
                <c:pt idx="692">
                  <c:v>33.118100000000801</c:v>
                </c:pt>
                <c:pt idx="693">
                  <c:v>33.118200000000805</c:v>
                </c:pt>
                <c:pt idx="694">
                  <c:v>33.118300000000808</c:v>
                </c:pt>
                <c:pt idx="695">
                  <c:v>33.118400000000811</c:v>
                </c:pt>
                <c:pt idx="696">
                  <c:v>33.118500000000815</c:v>
                </c:pt>
                <c:pt idx="697">
                  <c:v>33.118600000000818</c:v>
                </c:pt>
                <c:pt idx="698">
                  <c:v>33.118700000000821</c:v>
                </c:pt>
                <c:pt idx="699">
                  <c:v>33.118800000000824</c:v>
                </c:pt>
                <c:pt idx="700">
                  <c:v>33.118900000000828</c:v>
                </c:pt>
                <c:pt idx="701">
                  <c:v>33.119000000000831</c:v>
                </c:pt>
                <c:pt idx="702">
                  <c:v>33.119100000000834</c:v>
                </c:pt>
                <c:pt idx="703">
                  <c:v>33.119200000000838</c:v>
                </c:pt>
                <c:pt idx="704">
                  <c:v>33.119300000000841</c:v>
                </c:pt>
                <c:pt idx="705">
                  <c:v>33.119400000000844</c:v>
                </c:pt>
                <c:pt idx="706">
                  <c:v>33.119500000000848</c:v>
                </c:pt>
                <c:pt idx="707">
                  <c:v>33.119600000000851</c:v>
                </c:pt>
                <c:pt idx="708">
                  <c:v>33.119700000000854</c:v>
                </c:pt>
                <c:pt idx="709">
                  <c:v>33.119800000000858</c:v>
                </c:pt>
                <c:pt idx="710">
                  <c:v>33.119900000000861</c:v>
                </c:pt>
                <c:pt idx="711">
                  <c:v>33.120000000000864</c:v>
                </c:pt>
                <c:pt idx="712">
                  <c:v>33.120100000000868</c:v>
                </c:pt>
                <c:pt idx="713">
                  <c:v>33.120200000000871</c:v>
                </c:pt>
                <c:pt idx="714">
                  <c:v>33.120300000000874</c:v>
                </c:pt>
                <c:pt idx="715">
                  <c:v>33.120400000000878</c:v>
                </c:pt>
                <c:pt idx="716">
                  <c:v>33.120500000000881</c:v>
                </c:pt>
                <c:pt idx="717">
                  <c:v>33.120600000000884</c:v>
                </c:pt>
                <c:pt idx="718">
                  <c:v>33.120700000000888</c:v>
                </c:pt>
                <c:pt idx="719">
                  <c:v>33.120800000000891</c:v>
                </c:pt>
                <c:pt idx="720">
                  <c:v>33.120900000000894</c:v>
                </c:pt>
                <c:pt idx="721">
                  <c:v>33.121000000000898</c:v>
                </c:pt>
                <c:pt idx="722">
                  <c:v>33.121100000000901</c:v>
                </c:pt>
                <c:pt idx="723">
                  <c:v>33.121200000000904</c:v>
                </c:pt>
                <c:pt idx="724">
                  <c:v>33.121300000000907</c:v>
                </c:pt>
                <c:pt idx="725">
                  <c:v>33.121400000000911</c:v>
                </c:pt>
                <c:pt idx="726">
                  <c:v>33.121500000000914</c:v>
                </c:pt>
                <c:pt idx="727">
                  <c:v>33.121600000000917</c:v>
                </c:pt>
                <c:pt idx="728">
                  <c:v>33.121700000000921</c:v>
                </c:pt>
                <c:pt idx="729">
                  <c:v>33.121800000000924</c:v>
                </c:pt>
                <c:pt idx="730">
                  <c:v>33.121900000000927</c:v>
                </c:pt>
                <c:pt idx="731">
                  <c:v>33.122000000000931</c:v>
                </c:pt>
                <c:pt idx="732">
                  <c:v>33.122100000000934</c:v>
                </c:pt>
                <c:pt idx="733">
                  <c:v>33.122200000000937</c:v>
                </c:pt>
                <c:pt idx="734">
                  <c:v>33.122300000000941</c:v>
                </c:pt>
                <c:pt idx="735">
                  <c:v>33.122400000000944</c:v>
                </c:pt>
                <c:pt idx="736">
                  <c:v>33.122500000000947</c:v>
                </c:pt>
                <c:pt idx="737">
                  <c:v>33.122600000000951</c:v>
                </c:pt>
                <c:pt idx="738">
                  <c:v>33.122700000000954</c:v>
                </c:pt>
                <c:pt idx="739">
                  <c:v>33.122800000000957</c:v>
                </c:pt>
                <c:pt idx="740">
                  <c:v>33.122900000000961</c:v>
                </c:pt>
                <c:pt idx="741">
                  <c:v>33.123000000000964</c:v>
                </c:pt>
                <c:pt idx="742">
                  <c:v>33.123100000000967</c:v>
                </c:pt>
                <c:pt idx="743">
                  <c:v>33.123200000000971</c:v>
                </c:pt>
                <c:pt idx="744">
                  <c:v>33.123300000000974</c:v>
                </c:pt>
                <c:pt idx="745">
                  <c:v>33.123400000000977</c:v>
                </c:pt>
                <c:pt idx="746">
                  <c:v>33.12350000000098</c:v>
                </c:pt>
                <c:pt idx="747">
                  <c:v>33.123600000000984</c:v>
                </c:pt>
                <c:pt idx="748">
                  <c:v>33.123700000000987</c:v>
                </c:pt>
                <c:pt idx="749">
                  <c:v>33.12380000000099</c:v>
                </c:pt>
                <c:pt idx="750">
                  <c:v>33.123900000000994</c:v>
                </c:pt>
                <c:pt idx="751">
                  <c:v>33.124000000000997</c:v>
                </c:pt>
                <c:pt idx="752">
                  <c:v>33.124100000001</c:v>
                </c:pt>
                <c:pt idx="753">
                  <c:v>33.124200000001004</c:v>
                </c:pt>
                <c:pt idx="754">
                  <c:v>33.124300000001007</c:v>
                </c:pt>
                <c:pt idx="755">
                  <c:v>33.12440000000101</c:v>
                </c:pt>
                <c:pt idx="756">
                  <c:v>33.124500000001014</c:v>
                </c:pt>
                <c:pt idx="757">
                  <c:v>33.124600000001017</c:v>
                </c:pt>
                <c:pt idx="758">
                  <c:v>33.12470000000102</c:v>
                </c:pt>
                <c:pt idx="759">
                  <c:v>33.124800000001024</c:v>
                </c:pt>
                <c:pt idx="760">
                  <c:v>33.124900000001027</c:v>
                </c:pt>
                <c:pt idx="761">
                  <c:v>33.12500000000103</c:v>
                </c:pt>
                <c:pt idx="762">
                  <c:v>33.125100000001034</c:v>
                </c:pt>
                <c:pt idx="763">
                  <c:v>33.125200000001037</c:v>
                </c:pt>
                <c:pt idx="764">
                  <c:v>33.12530000000104</c:v>
                </c:pt>
                <c:pt idx="765">
                  <c:v>33.125400000001044</c:v>
                </c:pt>
                <c:pt idx="766">
                  <c:v>33.125500000001047</c:v>
                </c:pt>
                <c:pt idx="767">
                  <c:v>33.12560000000105</c:v>
                </c:pt>
                <c:pt idx="768">
                  <c:v>33.125700000001054</c:v>
                </c:pt>
                <c:pt idx="769">
                  <c:v>33.125800000001057</c:v>
                </c:pt>
                <c:pt idx="770">
                  <c:v>33.12590000000106</c:v>
                </c:pt>
                <c:pt idx="771">
                  <c:v>33.126000000001063</c:v>
                </c:pt>
                <c:pt idx="772">
                  <c:v>33.126100000001067</c:v>
                </c:pt>
                <c:pt idx="773">
                  <c:v>33.12620000000107</c:v>
                </c:pt>
                <c:pt idx="774">
                  <c:v>33.126300000001073</c:v>
                </c:pt>
                <c:pt idx="775">
                  <c:v>33.126400000001077</c:v>
                </c:pt>
                <c:pt idx="776">
                  <c:v>33.12650000000108</c:v>
                </c:pt>
                <c:pt idx="777">
                  <c:v>33.126600000001083</c:v>
                </c:pt>
                <c:pt idx="778">
                  <c:v>33.126700000001087</c:v>
                </c:pt>
                <c:pt idx="779">
                  <c:v>33.12680000000109</c:v>
                </c:pt>
                <c:pt idx="780">
                  <c:v>33.126900000001093</c:v>
                </c:pt>
                <c:pt idx="781">
                  <c:v>33.127000000001097</c:v>
                </c:pt>
                <c:pt idx="782">
                  <c:v>33.1271000000011</c:v>
                </c:pt>
                <c:pt idx="783">
                  <c:v>33.127200000001103</c:v>
                </c:pt>
                <c:pt idx="784">
                  <c:v>33.127300000001107</c:v>
                </c:pt>
                <c:pt idx="785">
                  <c:v>33.12740000000111</c:v>
                </c:pt>
                <c:pt idx="786">
                  <c:v>33.127500000001113</c:v>
                </c:pt>
                <c:pt idx="787">
                  <c:v>33.127600000001117</c:v>
                </c:pt>
                <c:pt idx="788">
                  <c:v>33.12770000000112</c:v>
                </c:pt>
                <c:pt idx="789">
                  <c:v>33.127800000001123</c:v>
                </c:pt>
                <c:pt idx="790">
                  <c:v>33.127900000001127</c:v>
                </c:pt>
                <c:pt idx="791">
                  <c:v>33.12800000000113</c:v>
                </c:pt>
                <c:pt idx="792">
                  <c:v>33.128100000001133</c:v>
                </c:pt>
                <c:pt idx="793">
                  <c:v>33.128200000001137</c:v>
                </c:pt>
                <c:pt idx="794">
                  <c:v>33.12830000000114</c:v>
                </c:pt>
                <c:pt idx="795">
                  <c:v>33.128400000001143</c:v>
                </c:pt>
                <c:pt idx="796">
                  <c:v>33.128500000001146</c:v>
                </c:pt>
                <c:pt idx="797">
                  <c:v>33.12860000000115</c:v>
                </c:pt>
                <c:pt idx="798">
                  <c:v>33.128700000001153</c:v>
                </c:pt>
                <c:pt idx="799">
                  <c:v>33.128800000001156</c:v>
                </c:pt>
                <c:pt idx="800">
                  <c:v>33.12890000000116</c:v>
                </c:pt>
                <c:pt idx="801">
                  <c:v>33.129000000001163</c:v>
                </c:pt>
                <c:pt idx="802">
                  <c:v>33.129100000001166</c:v>
                </c:pt>
                <c:pt idx="803">
                  <c:v>33.12920000000117</c:v>
                </c:pt>
                <c:pt idx="804">
                  <c:v>33.129300000001173</c:v>
                </c:pt>
                <c:pt idx="805">
                  <c:v>33.129400000001176</c:v>
                </c:pt>
                <c:pt idx="806">
                  <c:v>33.12950000000118</c:v>
                </c:pt>
                <c:pt idx="807">
                  <c:v>33.129600000001183</c:v>
                </c:pt>
                <c:pt idx="808">
                  <c:v>33.129700000001186</c:v>
                </c:pt>
                <c:pt idx="809">
                  <c:v>33.12980000000119</c:v>
                </c:pt>
                <c:pt idx="810">
                  <c:v>33.129900000001193</c:v>
                </c:pt>
                <c:pt idx="811">
                  <c:v>33.130000000001196</c:v>
                </c:pt>
                <c:pt idx="812">
                  <c:v>33.1301000000012</c:v>
                </c:pt>
                <c:pt idx="813">
                  <c:v>33.130200000001203</c:v>
                </c:pt>
                <c:pt idx="814">
                  <c:v>33.130300000001206</c:v>
                </c:pt>
                <c:pt idx="815">
                  <c:v>33.13040000000121</c:v>
                </c:pt>
                <c:pt idx="816">
                  <c:v>33.130500000001213</c:v>
                </c:pt>
                <c:pt idx="817">
                  <c:v>33.130600000001216</c:v>
                </c:pt>
                <c:pt idx="818">
                  <c:v>33.13070000000122</c:v>
                </c:pt>
                <c:pt idx="819">
                  <c:v>33.130800000001223</c:v>
                </c:pt>
                <c:pt idx="820">
                  <c:v>33.130900000001226</c:v>
                </c:pt>
                <c:pt idx="821">
                  <c:v>33.131000000001229</c:v>
                </c:pt>
                <c:pt idx="822">
                  <c:v>33.131100000001233</c:v>
                </c:pt>
                <c:pt idx="823">
                  <c:v>33.131200000001236</c:v>
                </c:pt>
                <c:pt idx="824">
                  <c:v>33.131300000001239</c:v>
                </c:pt>
                <c:pt idx="825">
                  <c:v>33.131400000001243</c:v>
                </c:pt>
                <c:pt idx="826">
                  <c:v>33.131500000001246</c:v>
                </c:pt>
                <c:pt idx="827">
                  <c:v>33.131600000001249</c:v>
                </c:pt>
                <c:pt idx="828">
                  <c:v>33.131700000001253</c:v>
                </c:pt>
                <c:pt idx="829">
                  <c:v>33.131800000001256</c:v>
                </c:pt>
                <c:pt idx="830">
                  <c:v>33.131900000001259</c:v>
                </c:pt>
                <c:pt idx="831">
                  <c:v>33.132000000001263</c:v>
                </c:pt>
                <c:pt idx="832">
                  <c:v>33.132100000001266</c:v>
                </c:pt>
                <c:pt idx="833">
                  <c:v>33.132200000001269</c:v>
                </c:pt>
                <c:pt idx="834">
                  <c:v>33.132300000001273</c:v>
                </c:pt>
                <c:pt idx="835">
                  <c:v>33.132400000001276</c:v>
                </c:pt>
                <c:pt idx="836">
                  <c:v>33.132500000001279</c:v>
                </c:pt>
                <c:pt idx="837">
                  <c:v>33.132600000001283</c:v>
                </c:pt>
                <c:pt idx="838">
                  <c:v>33.132700000001286</c:v>
                </c:pt>
                <c:pt idx="839">
                  <c:v>33.132800000001289</c:v>
                </c:pt>
                <c:pt idx="840">
                  <c:v>33.132900000001293</c:v>
                </c:pt>
                <c:pt idx="841">
                  <c:v>33.133000000001296</c:v>
                </c:pt>
                <c:pt idx="842">
                  <c:v>33.133100000001299</c:v>
                </c:pt>
                <c:pt idx="843">
                  <c:v>33.133200000001302</c:v>
                </c:pt>
                <c:pt idx="844">
                  <c:v>33.133300000001306</c:v>
                </c:pt>
                <c:pt idx="845">
                  <c:v>33.133400000001309</c:v>
                </c:pt>
                <c:pt idx="846">
                  <c:v>33.133500000001312</c:v>
                </c:pt>
                <c:pt idx="847">
                  <c:v>33.133600000001316</c:v>
                </c:pt>
                <c:pt idx="848">
                  <c:v>33.133700000001319</c:v>
                </c:pt>
                <c:pt idx="849">
                  <c:v>33.133800000001322</c:v>
                </c:pt>
                <c:pt idx="850">
                  <c:v>33.133900000001326</c:v>
                </c:pt>
                <c:pt idx="851">
                  <c:v>33.134000000001329</c:v>
                </c:pt>
                <c:pt idx="852">
                  <c:v>33.134100000001332</c:v>
                </c:pt>
                <c:pt idx="853">
                  <c:v>33.134200000001336</c:v>
                </c:pt>
                <c:pt idx="854">
                  <c:v>33.134300000001339</c:v>
                </c:pt>
                <c:pt idx="855">
                  <c:v>33.134400000001342</c:v>
                </c:pt>
                <c:pt idx="856">
                  <c:v>33.134500000001346</c:v>
                </c:pt>
                <c:pt idx="857">
                  <c:v>33.134600000001349</c:v>
                </c:pt>
                <c:pt idx="858">
                  <c:v>33.134700000001352</c:v>
                </c:pt>
                <c:pt idx="859">
                  <c:v>33.134800000001356</c:v>
                </c:pt>
                <c:pt idx="860">
                  <c:v>33.134900000001359</c:v>
                </c:pt>
                <c:pt idx="861">
                  <c:v>33.135000000001362</c:v>
                </c:pt>
                <c:pt idx="862">
                  <c:v>33.135100000001366</c:v>
                </c:pt>
                <c:pt idx="863">
                  <c:v>33.135200000001369</c:v>
                </c:pt>
                <c:pt idx="864">
                  <c:v>33.135300000001372</c:v>
                </c:pt>
                <c:pt idx="865">
                  <c:v>33.135400000001376</c:v>
                </c:pt>
                <c:pt idx="866">
                  <c:v>33.135500000001379</c:v>
                </c:pt>
                <c:pt idx="867">
                  <c:v>33.135600000001382</c:v>
                </c:pt>
                <c:pt idx="868">
                  <c:v>33.135700000001385</c:v>
                </c:pt>
                <c:pt idx="869">
                  <c:v>33.135800000001389</c:v>
                </c:pt>
                <c:pt idx="870">
                  <c:v>33.135900000001392</c:v>
                </c:pt>
                <c:pt idx="871">
                  <c:v>33.136000000001395</c:v>
                </c:pt>
                <c:pt idx="872">
                  <c:v>33.136100000001399</c:v>
                </c:pt>
                <c:pt idx="873">
                  <c:v>33.136200000001402</c:v>
                </c:pt>
                <c:pt idx="874">
                  <c:v>33.136300000001405</c:v>
                </c:pt>
                <c:pt idx="875">
                  <c:v>33.136400000001409</c:v>
                </c:pt>
                <c:pt idx="876">
                  <c:v>33.136500000001412</c:v>
                </c:pt>
                <c:pt idx="877">
                  <c:v>33.136600000001415</c:v>
                </c:pt>
                <c:pt idx="878">
                  <c:v>33.136700000001419</c:v>
                </c:pt>
                <c:pt idx="879">
                  <c:v>33.136800000001422</c:v>
                </c:pt>
                <c:pt idx="880">
                  <c:v>33.136900000001425</c:v>
                </c:pt>
                <c:pt idx="881">
                  <c:v>33.137000000001429</c:v>
                </c:pt>
                <c:pt idx="882">
                  <c:v>33.137100000001432</c:v>
                </c:pt>
                <c:pt idx="883">
                  <c:v>33.137200000001435</c:v>
                </c:pt>
                <c:pt idx="884">
                  <c:v>33.137300000001439</c:v>
                </c:pt>
                <c:pt idx="885">
                  <c:v>33.137400000001442</c:v>
                </c:pt>
                <c:pt idx="886">
                  <c:v>33.137500000001445</c:v>
                </c:pt>
                <c:pt idx="887">
                  <c:v>33.137600000001449</c:v>
                </c:pt>
                <c:pt idx="888">
                  <c:v>33.137700000001452</c:v>
                </c:pt>
                <c:pt idx="889">
                  <c:v>33.137800000001455</c:v>
                </c:pt>
                <c:pt idx="890">
                  <c:v>33.137900000001459</c:v>
                </c:pt>
                <c:pt idx="891">
                  <c:v>33.138000000001462</c:v>
                </c:pt>
                <c:pt idx="892">
                  <c:v>33.138100000001465</c:v>
                </c:pt>
                <c:pt idx="893">
                  <c:v>33.138200000001468</c:v>
                </c:pt>
                <c:pt idx="894">
                  <c:v>33.138300000001472</c:v>
                </c:pt>
                <c:pt idx="895">
                  <c:v>33.138400000001475</c:v>
                </c:pt>
                <c:pt idx="896">
                  <c:v>33.138500000001478</c:v>
                </c:pt>
                <c:pt idx="897">
                  <c:v>33.138600000001482</c:v>
                </c:pt>
                <c:pt idx="898">
                  <c:v>33.138700000001485</c:v>
                </c:pt>
                <c:pt idx="899">
                  <c:v>33.138800000001488</c:v>
                </c:pt>
                <c:pt idx="900">
                  <c:v>33.138900000001492</c:v>
                </c:pt>
                <c:pt idx="901">
                  <c:v>33.139000000001495</c:v>
                </c:pt>
                <c:pt idx="902">
                  <c:v>33.139100000001498</c:v>
                </c:pt>
                <c:pt idx="903">
                  <c:v>33.139200000001502</c:v>
                </c:pt>
                <c:pt idx="904">
                  <c:v>33.139300000001505</c:v>
                </c:pt>
                <c:pt idx="905">
                  <c:v>33.139400000001508</c:v>
                </c:pt>
                <c:pt idx="906">
                  <c:v>33.139500000001512</c:v>
                </c:pt>
                <c:pt idx="907">
                  <c:v>33.139600000001515</c:v>
                </c:pt>
                <c:pt idx="908">
                  <c:v>33.139700000001518</c:v>
                </c:pt>
                <c:pt idx="909">
                  <c:v>33.139800000001522</c:v>
                </c:pt>
                <c:pt idx="910">
                  <c:v>33.139900000001525</c:v>
                </c:pt>
                <c:pt idx="911">
                  <c:v>33.140000000001528</c:v>
                </c:pt>
                <c:pt idx="912">
                  <c:v>33.140100000001532</c:v>
                </c:pt>
                <c:pt idx="913">
                  <c:v>33.140200000001535</c:v>
                </c:pt>
                <c:pt idx="914">
                  <c:v>33.140300000001538</c:v>
                </c:pt>
                <c:pt idx="915">
                  <c:v>33.140400000001542</c:v>
                </c:pt>
                <c:pt idx="916">
                  <c:v>33.140500000001545</c:v>
                </c:pt>
                <c:pt idx="917">
                  <c:v>33.140600000001548</c:v>
                </c:pt>
                <c:pt idx="918">
                  <c:v>33.140700000001551</c:v>
                </c:pt>
                <c:pt idx="919">
                  <c:v>33.140800000001555</c:v>
                </c:pt>
                <c:pt idx="920">
                  <c:v>33.140900000001558</c:v>
                </c:pt>
                <c:pt idx="921">
                  <c:v>33.141000000001561</c:v>
                </c:pt>
                <c:pt idx="922">
                  <c:v>33.141100000001565</c:v>
                </c:pt>
                <c:pt idx="923">
                  <c:v>33.141200000001568</c:v>
                </c:pt>
                <c:pt idx="924">
                  <c:v>33.141300000001571</c:v>
                </c:pt>
                <c:pt idx="925">
                  <c:v>33.141400000001575</c:v>
                </c:pt>
                <c:pt idx="926">
                  <c:v>33.141500000001578</c:v>
                </c:pt>
                <c:pt idx="927">
                  <c:v>33.141600000001581</c:v>
                </c:pt>
                <c:pt idx="928">
                  <c:v>33.141700000001585</c:v>
                </c:pt>
                <c:pt idx="929">
                  <c:v>33.141800000001588</c:v>
                </c:pt>
                <c:pt idx="930">
                  <c:v>33.141900000001591</c:v>
                </c:pt>
                <c:pt idx="931">
                  <c:v>33.142000000001595</c:v>
                </c:pt>
                <c:pt idx="932">
                  <c:v>33.142100000001598</c:v>
                </c:pt>
                <c:pt idx="933">
                  <c:v>33.142200000001601</c:v>
                </c:pt>
                <c:pt idx="934">
                  <c:v>33.142300000001605</c:v>
                </c:pt>
                <c:pt idx="935">
                  <c:v>33.142400000001608</c:v>
                </c:pt>
                <c:pt idx="936">
                  <c:v>33.142500000001611</c:v>
                </c:pt>
                <c:pt idx="937">
                  <c:v>33.142600000001615</c:v>
                </c:pt>
                <c:pt idx="938">
                  <c:v>33.142700000001618</c:v>
                </c:pt>
                <c:pt idx="939">
                  <c:v>33.142800000001621</c:v>
                </c:pt>
                <c:pt idx="940">
                  <c:v>33.142900000001625</c:v>
                </c:pt>
                <c:pt idx="941">
                  <c:v>33.143000000001628</c:v>
                </c:pt>
                <c:pt idx="942">
                  <c:v>33.143100000001631</c:v>
                </c:pt>
                <c:pt idx="943">
                  <c:v>33.143200000001634</c:v>
                </c:pt>
                <c:pt idx="944">
                  <c:v>33.143300000001638</c:v>
                </c:pt>
                <c:pt idx="945">
                  <c:v>33.143400000001641</c:v>
                </c:pt>
                <c:pt idx="946">
                  <c:v>33.143500000001644</c:v>
                </c:pt>
                <c:pt idx="947">
                  <c:v>33.143600000001648</c:v>
                </c:pt>
                <c:pt idx="948">
                  <c:v>33.143700000001651</c:v>
                </c:pt>
                <c:pt idx="949">
                  <c:v>33.143800000001654</c:v>
                </c:pt>
                <c:pt idx="950">
                  <c:v>33.143900000001658</c:v>
                </c:pt>
                <c:pt idx="951">
                  <c:v>33.144000000001661</c:v>
                </c:pt>
                <c:pt idx="952">
                  <c:v>33.144100000001664</c:v>
                </c:pt>
                <c:pt idx="953">
                  <c:v>33.144200000001668</c:v>
                </c:pt>
                <c:pt idx="954">
                  <c:v>33.144300000001671</c:v>
                </c:pt>
                <c:pt idx="955">
                  <c:v>33.144400000001674</c:v>
                </c:pt>
                <c:pt idx="956">
                  <c:v>33.144500000001678</c:v>
                </c:pt>
                <c:pt idx="957">
                  <c:v>33.144600000001681</c:v>
                </c:pt>
                <c:pt idx="958">
                  <c:v>33.144700000001684</c:v>
                </c:pt>
                <c:pt idx="959">
                  <c:v>33.144800000001688</c:v>
                </c:pt>
                <c:pt idx="960">
                  <c:v>33.144900000001691</c:v>
                </c:pt>
                <c:pt idx="961">
                  <c:v>33.145000000001694</c:v>
                </c:pt>
                <c:pt idx="962">
                  <c:v>33.145100000001698</c:v>
                </c:pt>
                <c:pt idx="963">
                  <c:v>33.145200000001701</c:v>
                </c:pt>
                <c:pt idx="964">
                  <c:v>33.145300000001704</c:v>
                </c:pt>
                <c:pt idx="965">
                  <c:v>33.145400000001707</c:v>
                </c:pt>
                <c:pt idx="966">
                  <c:v>33.145500000001711</c:v>
                </c:pt>
                <c:pt idx="967">
                  <c:v>33.145600000001714</c:v>
                </c:pt>
                <c:pt idx="968">
                  <c:v>33.145700000001717</c:v>
                </c:pt>
                <c:pt idx="969">
                  <c:v>33.145800000001721</c:v>
                </c:pt>
                <c:pt idx="970">
                  <c:v>33.145900000001724</c:v>
                </c:pt>
                <c:pt idx="971">
                  <c:v>33.146000000001727</c:v>
                </c:pt>
                <c:pt idx="972">
                  <c:v>33.146100000001731</c:v>
                </c:pt>
                <c:pt idx="973">
                  <c:v>33.146200000001734</c:v>
                </c:pt>
                <c:pt idx="974">
                  <c:v>33.146300000001737</c:v>
                </c:pt>
                <c:pt idx="975">
                  <c:v>33.146400000001741</c:v>
                </c:pt>
                <c:pt idx="976">
                  <c:v>33.146500000001744</c:v>
                </c:pt>
                <c:pt idx="977">
                  <c:v>33.146600000001747</c:v>
                </c:pt>
                <c:pt idx="978">
                  <c:v>33.146700000001751</c:v>
                </c:pt>
                <c:pt idx="979">
                  <c:v>33.146800000001754</c:v>
                </c:pt>
                <c:pt idx="980">
                  <c:v>33.146900000001757</c:v>
                </c:pt>
                <c:pt idx="981">
                  <c:v>33.147000000001761</c:v>
                </c:pt>
                <c:pt idx="982">
                  <c:v>33.147100000001764</c:v>
                </c:pt>
                <c:pt idx="983">
                  <c:v>33.147200000001767</c:v>
                </c:pt>
                <c:pt idx="984">
                  <c:v>33.147300000001771</c:v>
                </c:pt>
                <c:pt idx="985">
                  <c:v>33.147400000001774</c:v>
                </c:pt>
                <c:pt idx="986">
                  <c:v>33.147500000001777</c:v>
                </c:pt>
                <c:pt idx="987">
                  <c:v>33.147600000001781</c:v>
                </c:pt>
                <c:pt idx="988">
                  <c:v>33.147700000001784</c:v>
                </c:pt>
                <c:pt idx="989">
                  <c:v>33.147800000001787</c:v>
                </c:pt>
                <c:pt idx="990">
                  <c:v>33.14790000000179</c:v>
                </c:pt>
                <c:pt idx="991">
                  <c:v>33.148000000001794</c:v>
                </c:pt>
                <c:pt idx="992">
                  <c:v>33.148100000001797</c:v>
                </c:pt>
                <c:pt idx="993">
                  <c:v>33.1482000000018</c:v>
                </c:pt>
                <c:pt idx="994">
                  <c:v>33.148300000001804</c:v>
                </c:pt>
                <c:pt idx="995">
                  <c:v>33.148400000001807</c:v>
                </c:pt>
                <c:pt idx="996">
                  <c:v>33.14850000000181</c:v>
                </c:pt>
                <c:pt idx="997">
                  <c:v>33.148600000001814</c:v>
                </c:pt>
                <c:pt idx="998">
                  <c:v>33.148700000001817</c:v>
                </c:pt>
                <c:pt idx="999">
                  <c:v>33.14880000000182</c:v>
                </c:pt>
                <c:pt idx="1000">
                  <c:v>33.148900000001824</c:v>
                </c:pt>
              </c:numCache>
            </c:numRef>
          </c:xVal>
          <c:yVal>
            <c:numRef>
              <c:f>Calculs!$AG$4:$AG$1004</c:f>
              <c:numCache>
                <c:formatCode>0.00</c:formatCode>
                <c:ptCount val="1001"/>
                <c:pt idx="0">
                  <c:v>0</c:v>
                </c:pt>
                <c:pt idx="1">
                  <c:v>16.163231841464203</c:v>
                </c:pt>
                <c:pt idx="2">
                  <c:v>88.054110432311546</c:v>
                </c:pt>
                <c:pt idx="3">
                  <c:v>131.85914992739026</c:v>
                </c:pt>
                <c:pt idx="4">
                  <c:v>127.27663525395613</c:v>
                </c:pt>
                <c:pt idx="5">
                  <c:v>122.68365074831007</c:v>
                </c:pt>
                <c:pt idx="6">
                  <c:v>120.88082243577651</c:v>
                </c:pt>
                <c:pt idx="7">
                  <c:v>121.87538424026846</c:v>
                </c:pt>
                <c:pt idx="8">
                  <c:v>122.87060239710024</c:v>
                </c:pt>
                <c:pt idx="9">
                  <c:v>123.86646252769049</c:v>
                </c:pt>
                <c:pt idx="10">
                  <c:v>124.86294998071492</c:v>
                </c:pt>
                <c:pt idx="11">
                  <c:v>125.56945988158043</c:v>
                </c:pt>
                <c:pt idx="12">
                  <c:v>125.98522499604115</c:v>
                </c:pt>
                <c:pt idx="13">
                  <c:v>126.40046020994302</c:v>
                </c:pt>
                <c:pt idx="14">
                  <c:v>126.81515406561837</c:v>
                </c:pt>
                <c:pt idx="15">
                  <c:v>127.22929506143527</c:v>
                </c:pt>
                <c:pt idx="16">
                  <c:v>127.6428716524388</c:v>
                </c:pt>
                <c:pt idx="17">
                  <c:v>128.05587225100319</c:v>
                </c:pt>
                <c:pt idx="18">
                  <c:v>128.46828522749482</c:v>
                </c:pt>
                <c:pt idx="19">
                  <c:v>128.88009891094538</c:v>
                </c:pt>
                <c:pt idx="20">
                  <c:v>129.29130158973643</c:v>
                </c:pt>
                <c:pt idx="21">
                  <c:v>129.58528029758617</c:v>
                </c:pt>
                <c:pt idx="22">
                  <c:v>129.7617259184029</c:v>
                </c:pt>
                <c:pt idx="23">
                  <c:v>129.93709406351513</c:v>
                </c:pt>
                <c:pt idx="24">
                  <c:v>130.11137768121449</c:v>
                </c:pt>
                <c:pt idx="25">
                  <c:v>130.28456974790507</c:v>
                </c:pt>
                <c:pt idx="26">
                  <c:v>130.45666326876358</c:v>
                </c:pt>
                <c:pt idx="27">
                  <c:v>130.62765127840058</c:v>
                </c:pt>
                <c:pt idx="28">
                  <c:v>130.79752684152163</c:v>
                </c:pt>
                <c:pt idx="29">
                  <c:v>130.96711870231996</c:v>
                </c:pt>
                <c:pt idx="30">
                  <c:v>131.13557205700135</c:v>
                </c:pt>
                <c:pt idx="31">
                  <c:v>131.30286700216118</c:v>
                </c:pt>
                <c:pt idx="32">
                  <c:v>131.46899827672246</c:v>
                </c:pt>
                <c:pt idx="33">
                  <c:v>131.63396050759641</c:v>
                </c:pt>
                <c:pt idx="34">
                  <c:v>131.79774822808628</c:v>
                </c:pt>
                <c:pt idx="35">
                  <c:v>131.96035589364885</c:v>
                </c:pt>
                <c:pt idx="36">
                  <c:v>132.12177789547309</c:v>
                </c:pt>
                <c:pt idx="37">
                  <c:v>132.28200857224621</c:v>
                </c:pt>
                <c:pt idx="38">
                  <c:v>132.44104222040406</c:v>
                </c:pt>
                <c:pt idx="39">
                  <c:v>132.59887310310916</c:v>
                </c:pt>
                <c:pt idx="40">
                  <c:v>132.75549545815352</c:v>
                </c:pt>
                <c:pt idx="41">
                  <c:v>132.82013572318783</c:v>
                </c:pt>
                <c:pt idx="42">
                  <c:v>132.79257030495353</c:v>
                </c:pt>
                <c:pt idx="43">
                  <c:v>132.7634749769536</c:v>
                </c:pt>
                <c:pt idx="44">
                  <c:v>132.73284917070191</c:v>
                </c:pt>
                <c:pt idx="45">
                  <c:v>132.70069235421047</c:v>
                </c:pt>
                <c:pt idx="46">
                  <c:v>132.66700403589243</c:v>
                </c:pt>
                <c:pt idx="47">
                  <c:v>132.63178376804566</c:v>
                </c:pt>
                <c:pt idx="48">
                  <c:v>132.59503114996954</c:v>
                </c:pt>
                <c:pt idx="49">
                  <c:v>132.55674583076245</c:v>
                </c:pt>
                <c:pt idx="50">
                  <c:v>132.51692751183833</c:v>
                </c:pt>
                <c:pt idx="51">
                  <c:v>132.47557594919613</c:v>
                </c:pt>
                <c:pt idx="52">
                  <c:v>132.43269095547004</c:v>
                </c:pt>
                <c:pt idx="53">
                  <c:v>132.38827240178679</c:v>
                </c:pt>
                <c:pt idx="54">
                  <c:v>132.3423202194503</c:v>
                </c:pt>
                <c:pt idx="55">
                  <c:v>132.2948344014724</c:v>
                </c:pt>
                <c:pt idx="56">
                  <c:v>132.2458150039663</c:v>
                </c:pt>
                <c:pt idx="57">
                  <c:v>132.19526214741614</c:v>
                </c:pt>
                <c:pt idx="58">
                  <c:v>132.14317601783574</c:v>
                </c:pt>
                <c:pt idx="59">
                  <c:v>132.08955686782619</c:v>
                </c:pt>
                <c:pt idx="60">
                  <c:v>132.03440501754321</c:v>
                </c:pt>
                <c:pt idx="61">
                  <c:v>131.9777208555814</c:v>
                </c:pt>
                <c:pt idx="62">
                  <c:v>131.91950483978326</c:v>
                </c:pt>
                <c:pt idx="63">
                  <c:v>131.85975749797947</c:v>
                </c:pt>
                <c:pt idx="64">
                  <c:v>131.79847942866616</c:v>
                </c:pt>
                <c:pt idx="65">
                  <c:v>131.73567130162428</c:v>
                </c:pt>
                <c:pt idx="66">
                  <c:v>131.67133385848555</c:v>
                </c:pt>
                <c:pt idx="67">
                  <c:v>131.60546791324947</c:v>
                </c:pt>
                <c:pt idx="68">
                  <c:v>131.53807435275428</c:v>
                </c:pt>
                <c:pt idx="69">
                  <c:v>131.46915413710605</c:v>
                </c:pt>
                <c:pt idx="70">
                  <c:v>131.39870830006797</c:v>
                </c:pt>
                <c:pt idx="71">
                  <c:v>131.32673794941294</c:v>
                </c:pt>
                <c:pt idx="72">
                  <c:v>131.253244267242</c:v>
                </c:pt>
                <c:pt idx="73">
                  <c:v>131.17822851027</c:v>
                </c:pt>
                <c:pt idx="74">
                  <c:v>131.10169201008134</c:v>
                </c:pt>
                <c:pt idx="75">
                  <c:v>131.02363617335669</c:v>
                </c:pt>
                <c:pt idx="76">
                  <c:v>130.94406248207312</c:v>
                </c:pt>
                <c:pt idx="77">
                  <c:v>130.86297249367823</c:v>
                </c:pt>
                <c:pt idx="78">
                  <c:v>130.78036784123989</c:v>
                </c:pt>
                <c:pt idx="79">
                  <c:v>130.69625023357335</c:v>
                </c:pt>
                <c:pt idx="80">
                  <c:v>130.61062145534606</c:v>
                </c:pt>
                <c:pt idx="81">
                  <c:v>130.43119265918264</c:v>
                </c:pt>
                <c:pt idx="82">
                  <c:v>130.15778657591792</c:v>
                </c:pt>
                <c:pt idx="83">
                  <c:v>129.88265207014291</c:v>
                </c:pt>
                <c:pt idx="84">
                  <c:v>129.60579792289138</c:v>
                </c:pt>
                <c:pt idx="85">
                  <c:v>129.32723300140952</c:v>
                </c:pt>
                <c:pt idx="86">
                  <c:v>129.04696625835103</c:v>
                </c:pt>
                <c:pt idx="87">
                  <c:v>128.76500673095282</c:v>
                </c:pt>
                <c:pt idx="88">
                  <c:v>128.48136354019223</c:v>
                </c:pt>
                <c:pt idx="89">
                  <c:v>128.19604588992638</c:v>
                </c:pt>
                <c:pt idx="90">
                  <c:v>127.90906306601465</c:v>
                </c:pt>
                <c:pt idx="91">
                  <c:v>127.57963186166747</c:v>
                </c:pt>
                <c:pt idx="92">
                  <c:v>127.20768894683548</c:v>
                </c:pt>
                <c:pt idx="93">
                  <c:v>126.83402292958485</c:v>
                </c:pt>
                <c:pt idx="94">
                  <c:v>126.4586466848279</c:v>
                </c:pt>
                <c:pt idx="95">
                  <c:v>126.08157316278441</c:v>
                </c:pt>
                <c:pt idx="96">
                  <c:v>125.70281538758007</c:v>
                </c:pt>
                <c:pt idx="97">
                  <c:v>125.32238645583308</c:v>
                </c:pt>
                <c:pt idx="98">
                  <c:v>124.94029953523017</c:v>
                </c:pt>
                <c:pt idx="99">
                  <c:v>124.55656786309227</c:v>
                </c:pt>
                <c:pt idx="100">
                  <c:v>124.17120474493052</c:v>
                </c:pt>
                <c:pt idx="101">
                  <c:v>123.77769635083008</c:v>
                </c:pt>
                <c:pt idx="102">
                  <c:v>123.37604558092495</c:v>
                </c:pt>
                <c:pt idx="103">
                  <c:v>122.97279193230145</c:v>
                </c:pt>
                <c:pt idx="104">
                  <c:v>122.56794950556113</c:v>
                </c:pt>
                <c:pt idx="105">
                  <c:v>122.16153246115738</c:v>
                </c:pt>
                <c:pt idx="106">
                  <c:v>121.75355501783211</c:v>
                </c:pt>
                <c:pt idx="107">
                  <c:v>121.34403145104736</c:v>
                </c:pt>
                <c:pt idx="108">
                  <c:v>120.93297609141131</c:v>
                </c:pt>
                <c:pt idx="109">
                  <c:v>120.52040332310018</c:v>
                </c:pt>
                <c:pt idx="110">
                  <c:v>120.10632758227565</c:v>
                </c:pt>
                <c:pt idx="111">
                  <c:v>119.76594218471431</c:v>
                </c:pt>
                <c:pt idx="112">
                  <c:v>119.49937052639734</c:v>
                </c:pt>
                <c:pt idx="113">
                  <c:v>119.23145186038533</c:v>
                </c:pt>
                <c:pt idx="114">
                  <c:v>118.96219500124812</c:v>
                </c:pt>
                <c:pt idx="115">
                  <c:v>118.69160881914183</c:v>
                </c:pt>
                <c:pt idx="116">
                  <c:v>118.41970223893979</c:v>
                </c:pt>
                <c:pt idx="117">
                  <c:v>118.14648423935806</c:v>
                </c:pt>
                <c:pt idx="118">
                  <c:v>117.87196385207496</c:v>
                </c:pt>
                <c:pt idx="119">
                  <c:v>117.59615016084611</c:v>
                </c:pt>
                <c:pt idx="120">
                  <c:v>117.31905230061385</c:v>
                </c:pt>
                <c:pt idx="121">
                  <c:v>116.91594291270685</c:v>
                </c:pt>
                <c:pt idx="122">
                  <c:v>116.38666824942402</c:v>
                </c:pt>
                <c:pt idx="123">
                  <c:v>115.85598457840219</c:v>
                </c:pt>
                <c:pt idx="124">
                  <c:v>115.32391116536084</c:v>
                </c:pt>
                <c:pt idx="125">
                  <c:v>114.7904672917654</c:v>
                </c:pt>
                <c:pt idx="126">
                  <c:v>114.25567225265397</c:v>
                </c:pt>
                <c:pt idx="127">
                  <c:v>113.71954535447217</c:v>
                </c:pt>
                <c:pt idx="128">
                  <c:v>113.18210591291597</c:v>
                </c:pt>
                <c:pt idx="129">
                  <c:v>112.64337325078296</c:v>
                </c:pt>
                <c:pt idx="130">
                  <c:v>112.10336669583302</c:v>
                </c:pt>
                <c:pt idx="131">
                  <c:v>111.52943824649681</c:v>
                </c:pt>
                <c:pt idx="132">
                  <c:v>110.92157088196693</c:v>
                </c:pt>
                <c:pt idx="133">
                  <c:v>110.31245918480754</c:v>
                </c:pt>
                <c:pt idx="134">
                  <c:v>109.70212531774223</c:v>
                </c:pt>
                <c:pt idx="135">
                  <c:v>109.09059142297953</c:v>
                </c:pt>
                <c:pt idx="136">
                  <c:v>108.47787961976442</c:v>
                </c:pt>
                <c:pt idx="137">
                  <c:v>107.86401200194815</c:v>
                </c:pt>
                <c:pt idx="138">
                  <c:v>107.24901063557506</c:v>
                </c:pt>
                <c:pt idx="139">
                  <c:v>106.63289755648786</c:v>
                </c:pt>
                <c:pt idx="140">
                  <c:v>106.01569476795179</c:v>
                </c:pt>
                <c:pt idx="141">
                  <c:v>105.00670662486699</c:v>
                </c:pt>
                <c:pt idx="142">
                  <c:v>103.60560457721887</c:v>
                </c:pt>
                <c:pt idx="143">
                  <c:v>102.20329248068802</c:v>
                </c:pt>
                <c:pt idx="144">
                  <c:v>100.79983465659703</c:v>
                </c:pt>
                <c:pt idx="145">
                  <c:v>99.395295015637984</c:v>
                </c:pt>
                <c:pt idx="146">
                  <c:v>97.989737049200045</c:v>
                </c:pt>
                <c:pt idx="147">
                  <c:v>96.583223820879965</c:v>
                </c:pt>
                <c:pt idx="148">
                  <c:v>95.175817958176538</c:v>
                </c:pt>
                <c:pt idx="149">
                  <c:v>93.767581644369272</c:v>
                </c:pt>
                <c:pt idx="150">
                  <c:v>92.358576610582745</c:v>
                </c:pt>
                <c:pt idx="151">
                  <c:v>90.948864128036817</c:v>
                </c:pt>
                <c:pt idx="152">
                  <c:v>89.538505000483426</c:v>
                </c:pt>
                <c:pt idx="153">
                  <c:v>88.127559556830448</c:v>
                </c:pt>
                <c:pt idx="154">
                  <c:v>86.716087643953102</c:v>
                </c:pt>
                <c:pt idx="155">
                  <c:v>85.304148619692853</c:v>
                </c:pt>
                <c:pt idx="156">
                  <c:v>82.040688100608335</c:v>
                </c:pt>
                <c:pt idx="157">
                  <c:v>76.925236856746807</c:v>
                </c:pt>
                <c:pt idx="158">
                  <c:v>71.810602631979648</c:v>
                </c:pt>
                <c:pt idx="159">
                  <c:v>66.697262904004432</c:v>
                </c:pt>
                <c:pt idx="160">
                  <c:v>61.585688046544803</c:v>
                </c:pt>
                <c:pt idx="161">
                  <c:v>54.122723141758144</c:v>
                </c:pt>
                <c:pt idx="162">
                  <c:v>44.309825761080759</c:v>
                </c:pt>
                <c:pt idx="163">
                  <c:v>34.728779566125255</c:v>
                </c:pt>
                <c:pt idx="164">
                  <c:v>25.380887452051123</c:v>
                </c:pt>
                <c:pt idx="165">
                  <c:v>18.291255516816506</c:v>
                </c:pt>
                <c:pt idx="166">
                  <c:v>13.45857588555325</c:v>
                </c:pt>
                <c:pt idx="167">
                  <c:v>6.9223524304429489</c:v>
                </c:pt>
                <c:pt idx="168">
                  <c:v>-7.8008211332242894E-2</c:v>
                </c:pt>
                <c:pt idx="169">
                  <c:v>-10.598749216867681</c:v>
                </c:pt>
                <c:pt idx="170">
                  <c:v>-22.159318289862075</c:v>
                </c:pt>
                <c:pt idx="171">
                  <c:v>-26.054102495943255</c:v>
                </c:pt>
                <c:pt idx="172">
                  <c:v>-26.006688050898848</c:v>
                </c:pt>
                <c:pt idx="173">
                  <c:v>-25.959433989882214</c:v>
                </c:pt>
                <c:pt idx="174">
                  <c:v>-25.912339590404542</c:v>
                </c:pt>
                <c:pt idx="175">
                  <c:v>-25.865404134065962</c:v>
                </c:pt>
                <c:pt idx="176">
                  <c:v>-25.818626906527697</c:v>
                </c:pt>
                <c:pt idx="177">
                  <c:v>-25.772007197484257</c:v>
                </c:pt>
                <c:pt idx="178">
                  <c:v>-25.725544300635967</c:v>
                </c:pt>
                <c:pt idx="179">
                  <c:v>-25.679237513661612</c:v>
                </c:pt>
                <c:pt idx="180">
                  <c:v>-25.633086138191448</c:v>
                </c:pt>
                <c:pt idx="181">
                  <c:v>-25.587089479780253</c:v>
                </c:pt>
                <c:pt idx="182">
                  <c:v>-25.541246847880743</c:v>
                </c:pt>
                <c:pt idx="183">
                  <c:v>-25.495557555817079</c:v>
                </c:pt>
                <c:pt idx="184">
                  <c:v>-25.450020920758682</c:v>
                </c:pt>
                <c:pt idx="185">
                  <c:v>-25.40463626369419</c:v>
                </c:pt>
                <c:pt idx="186">
                  <c:v>-25.359402909405645</c:v>
                </c:pt>
                <c:pt idx="187">
                  <c:v>-25.314320186442881</c:v>
                </c:pt>
                <c:pt idx="188">
                  <c:v>-25.269387427098088</c:v>
                </c:pt>
                <c:pt idx="189">
                  <c:v>-25.224603967380638</c:v>
                </c:pt>
                <c:pt idx="190">
                  <c:v>-25.179969146992079</c:v>
                </c:pt>
                <c:pt idx="191">
                  <c:v>-25.135482309301246</c:v>
                </c:pt>
                <c:pt idx="192">
                  <c:v>-25.091142801319716</c:v>
                </c:pt>
                <c:pt idx="193">
                  <c:v>-25.04694997367735</c:v>
                </c:pt>
                <c:pt idx="194">
                  <c:v>-25.002903180598018</c:v>
                </c:pt>
                <c:pt idx="195">
                  <c:v>-24.959001779875614</c:v>
                </c:pt>
                <c:pt idx="196">
                  <c:v>-24.91524513285016</c:v>
                </c:pt>
                <c:pt idx="197">
                  <c:v>-24.871632604384104</c:v>
                </c:pt>
                <c:pt idx="198">
                  <c:v>-24.828163562838881</c:v>
                </c:pt>
                <c:pt idx="199">
                  <c:v>-24.784837380051577</c:v>
                </c:pt>
                <c:pt idx="200">
                  <c:v>-24.741653431311772</c:v>
                </c:pt>
                <c:pt idx="201">
                  <c:v>-24.698611095338656</c:v>
                </c:pt>
                <c:pt idx="202">
                  <c:v>-24.27279982008838</c:v>
                </c:pt>
                <c:pt idx="203">
                  <c:v>-23.860727988167572</c:v>
                </c:pt>
                <c:pt idx="204">
                  <c:v>-23.461810398809892</c:v>
                </c:pt>
                <c:pt idx="205">
                  <c:v>-23.075492864829929</c:v>
                </c:pt>
                <c:pt idx="206">
                  <c:v>-22.701250239344041</c:v>
                </c:pt>
                <c:pt idx="207">
                  <c:v>-22.338584587417643</c:v>
                </c:pt>
                <c:pt idx="208">
                  <c:v>-21.98702349052283</c:v>
                </c:pt>
                <c:pt idx="209">
                  <c:v>-21.646118472818181</c:v>
                </c:pt>
                <c:pt idx="210">
                  <c:v>-21.315443539275158</c:v>
                </c:pt>
                <c:pt idx="211">
                  <c:v>-20.994593816584185</c:v>
                </c:pt>
                <c:pt idx="212">
                  <c:v>-20.683184288591733</c:v>
                </c:pt>
                <c:pt idx="213">
                  <c:v>-20.380848618755358</c:v>
                </c:pt>
                <c:pt idx="214">
                  <c:v>-20.08723805276761</c:v>
                </c:pt>
                <c:pt idx="215">
                  <c:v>-19.802020395097994</c:v>
                </c:pt>
                <c:pt idx="216">
                  <c:v>-19.524879053743035</c:v>
                </c:pt>
                <c:pt idx="217">
                  <c:v>-19.255512147963316</c:v>
                </c:pt>
                <c:pt idx="218">
                  <c:v>-18.993631674228705</c:v>
                </c:pt>
                <c:pt idx="219">
                  <c:v>-18.738962725993709</c:v>
                </c:pt>
                <c:pt idx="220">
                  <c:v>-18.491242763288142</c:v>
                </c:pt>
                <c:pt idx="221">
                  <c:v>-18.250220928438267</c:v>
                </c:pt>
                <c:pt idx="222">
                  <c:v>-18.015657404532654</c:v>
                </c:pt>
                <c:pt idx="223">
                  <c:v>-17.787322813519481</c:v>
                </c:pt>
                <c:pt idx="224">
                  <c:v>-17.564997651069547</c:v>
                </c:pt>
                <c:pt idx="225">
                  <c:v>-17.348471755564649</c:v>
                </c:pt>
                <c:pt idx="226">
                  <c:v>-17.137543808776364</c:v>
                </c:pt>
                <c:pt idx="227">
                  <c:v>-16.932020865987656</c:v>
                </c:pt>
                <c:pt idx="228">
                  <c:v>-16.731717913480228</c:v>
                </c:pt>
                <c:pt idx="229">
                  <c:v>-16.536457451466575</c:v>
                </c:pt>
                <c:pt idx="230">
                  <c:v>-16.346069100688105</c:v>
                </c:pt>
                <c:pt idx="231">
                  <c:v>-16.160389231030326</c:v>
                </c:pt>
                <c:pt idx="232">
                  <c:v>-15.979260610625332</c:v>
                </c:pt>
                <c:pt idx="233">
                  <c:v>-15.802532074019989</c:v>
                </c:pt>
                <c:pt idx="234">
                  <c:v>-15.630058208087668</c:v>
                </c:pt>
                <c:pt idx="235">
                  <c:v>-15.461699054451934</c:v>
                </c:pt>
                <c:pt idx="236">
                  <c:v>-15.297319827273508</c:v>
                </c:pt>
                <c:pt idx="237">
                  <c:v>-15.136790645327483</c:v>
                </c:pt>
                <c:pt idx="238">
                  <c:v>-14.979986277366836</c:v>
                </c:pt>
                <c:pt idx="239">
                  <c:v>-14.826785899831261</c:v>
                </c:pt>
                <c:pt idx="240">
                  <c:v>-14.677072866017792</c:v>
                </c:pt>
                <c:pt idx="241">
                  <c:v>-14.530734485881791</c:v>
                </c:pt>
                <c:pt idx="242">
                  <c:v>-14.387661815684261</c:v>
                </c:pt>
                <c:pt idx="243">
                  <c:v>-14.247749456744222</c:v>
                </c:pt>
                <c:pt idx="244">
                  <c:v>-14.110895362593652</c:v>
                </c:pt>
                <c:pt idx="245">
                  <c:v>-13.977000653866993</c:v>
                </c:pt>
                <c:pt idx="246">
                  <c:v>-13.845969440288295</c:v>
                </c:pt>
                <c:pt idx="247">
                  <c:v>-13.717708649146466</c:v>
                </c:pt>
                <c:pt idx="248">
                  <c:v>-13.592127859673028</c:v>
                </c:pt>
                <c:pt idx="249">
                  <c:v>-13.469139142757758</c:v>
                </c:pt>
                <c:pt idx="250">
                  <c:v>-13.348656905455133</c:v>
                </c:pt>
                <c:pt idx="251">
                  <c:v>-13.230597739749287</c:v>
                </c:pt>
                <c:pt idx="252">
                  <c:v>-13.114880275056773</c:v>
                </c:pt>
                <c:pt idx="253">
                  <c:v>-13.001425033955378</c:v>
                </c:pt>
                <c:pt idx="254">
                  <c:v>-12.890154290633019</c:v>
                </c:pt>
                <c:pt idx="255">
                  <c:v>-12.780991931553823</c:v>
                </c:pt>
                <c:pt idx="256">
                  <c:v>-12.673863317838602</c:v>
                </c:pt>
                <c:pt idx="257">
                  <c:v>-12.568695148854069</c:v>
                </c:pt>
                <c:pt idx="258">
                  <c:v>-12.465415326499258</c:v>
                </c:pt>
                <c:pt idx="259">
                  <c:v>-12.363952819668702</c:v>
                </c:pt>
                <c:pt idx="260">
                  <c:v>-12.264237528359617</c:v>
                </c:pt>
                <c:pt idx="261">
                  <c:v>-12.1662001468749</c:v>
                </c:pt>
                <c:pt idx="262">
                  <c:v>-12.069772025554629</c:v>
                </c:pt>
                <c:pt idx="263">
                  <c:v>-11.974885030446011</c:v>
                </c:pt>
                <c:pt idx="264">
                  <c:v>-11.881471400295187</c:v>
                </c:pt>
                <c:pt idx="265">
                  <c:v>-11.789463600213416</c:v>
                </c:pt>
                <c:pt idx="266">
                  <c:v>-11.698794171335201</c:v>
                </c:pt>
                <c:pt idx="267">
                  <c:v>-11.609395575746115</c:v>
                </c:pt>
                <c:pt idx="268">
                  <c:v>-11.521200035913433</c:v>
                </c:pt>
                <c:pt idx="269">
                  <c:v>-11.434139367802832</c:v>
                </c:pt>
                <c:pt idx="270">
                  <c:v>-11.348144806809028</c:v>
                </c:pt>
                <c:pt idx="271">
                  <c:v>-11.263146825566814</c:v>
                </c:pt>
                <c:pt idx="272">
                  <c:v>-11.179074942641618</c:v>
                </c:pt>
                <c:pt idx="273">
                  <c:v>-11.095857521024634</c:v>
                </c:pt>
                <c:pt idx="274">
                  <c:v>-11.013421555276746</c:v>
                </c:pt>
                <c:pt idx="275">
                  <c:v>-10.931692446077701</c:v>
                </c:pt>
                <c:pt idx="276">
                  <c:v>-10.850593760841811</c:v>
                </c:pt>
                <c:pt idx="277">
                  <c:v>-10.770046978959227</c:v>
                </c:pt>
                <c:pt idx="278">
                  <c:v>-10.689971220112044</c:v>
                </c:pt>
                <c:pt idx="279">
                  <c:v>-10.610282953997995</c:v>
                </c:pt>
                <c:pt idx="280">
                  <c:v>-10.530895689671407</c:v>
                </c:pt>
                <c:pt idx="281">
                  <c:v>-10.451719642582356</c:v>
                </c:pt>
                <c:pt idx="282">
                  <c:v>-10.372661377261954</c:v>
                </c:pt>
                <c:pt idx="283">
                  <c:v>-10.293623423466311</c:v>
                </c:pt>
                <c:pt idx="284">
                  <c:v>-10.214503863456478</c:v>
                </c:pt>
                <c:pt idx="285">
                  <c:v>-10.135195887960336</c:v>
                </c:pt>
                <c:pt idx="286">
                  <c:v>-10.055587318239622</c:v>
                </c:pt>
                <c:pt idx="287">
                  <c:v>-9.9755600915776697</c:v>
                </c:pt>
                <c:pt idx="288">
                  <c:v>-9.8949897074189703</c:v>
                </c:pt>
                <c:pt idx="289">
                  <c:v>-9.8137446313414873</c:v>
                </c:pt>
                <c:pt idx="290">
                  <c:v>-9.7316856540401044</c:v>
                </c:pt>
                <c:pt idx="291">
                  <c:v>-9.6486652025625652</c:v>
                </c:pt>
                <c:pt idx="292">
                  <c:v>-9.5645266011896375</c:v>
                </c:pt>
                <c:pt idx="293">
                  <c:v>-9.4791032796168366</c:v>
                </c:pt>
                <c:pt idx="294">
                  <c:v>-9.3922179265107992</c:v>
                </c:pt>
                <c:pt idx="295">
                  <c:v>-9.3036815871217993</c:v>
                </c:pt>
                <c:pt idx="296">
                  <c:v>-9.2132927044885893</c:v>
                </c:pt>
                <c:pt idx="297">
                  <c:v>-9.1208361049369859</c:v>
                </c:pt>
                <c:pt idx="298">
                  <c:v>-9.0260819301285284</c:v>
                </c:pt>
                <c:pt idx="299">
                  <c:v>-8.9287845199549967</c:v>
                </c:pt>
                <c:pt idx="300">
                  <c:v>-8.8286812532113998</c:v>
                </c:pt>
                <c:pt idx="301">
                  <c:v>-8.7254913563483125</c:v>
                </c:pt>
                <c:pt idx="302">
                  <c:v>-8.6189146948587485</c:v>
                </c:pt>
                <c:pt idx="303">
                  <c:v>-8.5086305671732934</c:v>
                </c:pt>
                <c:pt idx="304">
                  <c:v>-8.3942965275183283</c:v>
                </c:pt>
                <c:pt idx="305">
                  <c:v>-8.2755472722522807</c:v>
                </c:pt>
                <c:pt idx="306">
                  <c:v>-8.1519936339593269</c:v>
                </c:pt>
                <c:pt idx="307">
                  <c:v>-8.0232217392711274</c:v>
                </c:pt>
                <c:pt idx="308">
                  <c:v>-7.888792400200435</c:v>
                </c:pt>
                <c:pt idx="309">
                  <c:v>-7.7482408248442969</c:v>
                </c:pt>
                <c:pt idx="310">
                  <c:v>-7.601076751681342</c:v>
                </c:pt>
                <c:pt idx="311">
                  <c:v>-7.4467851322102776</c:v>
                </c:pt>
                <c:pt idx="312">
                  <c:v>-7.2848275089612251</c:v>
                </c:pt>
                <c:pt idx="313">
                  <c:v>-7.1146442591973358</c:v>
                </c:pt>
                <c:pt idx="314">
                  <c:v>-6.9356578976488645</c:v>
                </c:pt>
                <c:pt idx="315">
                  <c:v>-6.7472776524666624</c:v>
                </c:pt>
                <c:pt idx="316">
                  <c:v>-6.5489055445089859</c:v>
                </c:pt>
                <c:pt idx="317">
                  <c:v>-6.339944207377588</c:v>
                </c:pt>
                <c:pt idx="318">
                  <c:v>-6.1198066795258166</c:v>
                </c:pt>
                <c:pt idx="319">
                  <c:v>-5.8879283744504933</c:v>
                </c:pt>
                <c:pt idx="320">
                  <c:v>-5.6437813837792756</c:v>
                </c:pt>
                <c:pt idx="321">
                  <c:v>-5.3868911839394427</c:v>
                </c:pt>
                <c:pt idx="322">
                  <c:v>-5.1168556935094482</c:v>
                </c:pt>
                <c:pt idx="323">
                  <c:v>-4.8333664606139939</c:v>
                </c:pt>
                <c:pt idx="324">
                  <c:v>-4.5362315467800549</c:v>
                </c:pt>
                <c:pt idx="325">
                  <c:v>-4.2253994203218346</c:v>
                </c:pt>
                <c:pt idx="326">
                  <c:v>-3.9009828914957461</c:v>
                </c:pt>
                <c:pt idx="327">
                  <c:v>-3.5632818362831982</c:v>
                </c:pt>
                <c:pt idx="328">
                  <c:v>-3.2128031993224813</c:v>
                </c:pt>
                <c:pt idx="329">
                  <c:v>-2.8502765821386813</c:v>
                </c:pt>
                <c:pt idx="330">
                  <c:v>-2.4766636584348474</c:v>
                </c:pt>
                <c:pt idx="331">
                  <c:v>-2.0931597595443945</c:v>
                </c:pt>
                <c:pt idx="332">
                  <c:v>-1.7011862735895655</c:v>
                </c:pt>
                <c:pt idx="333">
                  <c:v>-1.3023730113989458</c:v>
                </c:pt>
                <c:pt idx="334">
                  <c:v>-0.89853038800256302</c:v>
                </c:pt>
                <c:pt idx="335">
                  <c:v>-0.49161209073470691</c:v>
                </c:pt>
                <c:pt idx="336">
                  <c:v>-8.3669760524399422E-2</c:v>
                </c:pt>
                <c:pt idx="337">
                  <c:v>0.32319801179389557</c:v>
                </c:pt>
                <c:pt idx="338">
                  <c:v>0.72689949131052034</c:v>
                </c:pt>
                <c:pt idx="339">
                  <c:v>1.125403228459539</c:v>
                </c:pt>
                <c:pt idx="340">
                  <c:v>1.5167879711346215</c:v>
                </c:pt>
                <c:pt idx="341">
                  <c:v>1.8992862837088396</c:v>
                </c:pt>
                <c:pt idx="342">
                  <c:v>2.2713197310888584</c:v>
                </c:pt>
                <c:pt idx="343">
                  <c:v>2.6315242907187466</c:v>
                </c:pt>
                <c:pt idx="344">
                  <c:v>2.9787655150544792</c:v>
                </c:pt>
                <c:pt idx="345">
                  <c:v>3.3121437704523462</c:v>
                </c:pt>
                <c:pt idx="346">
                  <c:v>3.6309905386694852</c:v>
                </c:pt>
                <c:pt idx="347">
                  <c:v>3.9348572322406787</c:v>
                </c:pt>
                <c:pt idx="348">
                  <c:v>4.2234982296874266</c:v>
                </c:pt>
                <c:pt idx="349">
                  <c:v>4.4968498968716846</c:v>
                </c:pt>
                <c:pt idx="350">
                  <c:v>4.7550072640674497</c:v>
                </c:pt>
                <c:pt idx="351">
                  <c:v>4.9981998218046639</c:v>
                </c:pt>
                <c:pt idx="352">
                  <c:v>5.2267676299834376</c:v>
                </c:pt>
                <c:pt idx="353">
                  <c:v>5.4411386455655224</c:v>
                </c:pt>
                <c:pt idx="354">
                  <c:v>5.6418078958161102</c:v>
                </c:pt>
                <c:pt idx="355">
                  <c:v>5.8293188773197926</c:v>
                </c:pt>
                <c:pt idx="356">
                  <c:v>6.004247356818694</c:v>
                </c:pt>
                <c:pt idx="357">
                  <c:v>6.1671875916009276</c:v>
                </c:pt>
                <c:pt idx="358">
                  <c:v>6.3187408726048266</c:v>
                </c:pt>
                <c:pt idx="359">
                  <c:v>6.4595062172682178</c:v>
                </c:pt>
                <c:pt idx="360">
                  <c:v>6.5900729946089029</c:v>
                </c:pt>
                <c:pt idx="361">
                  <c:v>6.7110152449726614</c:v>
                </c:pt>
                <c:pt idx="362">
                  <c:v>6.8228874547453255</c:v>
                </c:pt>
                <c:pt idx="363">
                  <c:v>6.9262215564436458</c:v>
                </c:pt>
                <c:pt idx="364">
                  <c:v>7.0215249424070922</c:v>
                </c:pt>
                <c:pt idx="365">
                  <c:v>7.1092793023050085</c:v>
                </c:pt>
                <c:pt idx="366">
                  <c:v>7.1899401182952074</c:v>
                </c:pt>
                <c:pt idx="367">
                  <c:v>7.2639366751580647</c:v>
                </c:pt>
                <c:pt idx="368">
                  <c:v>7.3316724649473102</c:v>
                </c:pt>
                <c:pt idx="369">
                  <c:v>7.393525885981461</c:v>
                </c:pt>
                <c:pt idx="370">
                  <c:v>7.4498511540269483</c:v>
                </c:pt>
                <c:pt idx="371">
                  <c:v>7.5009793592097607</c:v>
                </c:pt>
                <c:pt idx="372">
                  <c:v>7.5472196156056137</c:v>
                </c:pt>
                <c:pt idx="373">
                  <c:v>7.588860261760324</c:v>
                </c:pt>
                <c:pt idx="374">
                  <c:v>7.6261700797928009</c:v>
                </c:pt>
                <c:pt idx="375">
                  <c:v>7.6593995084619566</c:v>
                </c:pt>
                <c:pt idx="376">
                  <c:v>7.6887818318654544</c:v>
                </c:pt>
                <c:pt idx="377">
                  <c:v>7.7145343304982461</c:v>
                </c:pt>
                <c:pt idx="378">
                  <c:v>7.7368593854299332</c:v>
                </c:pt>
                <c:pt idx="379">
                  <c:v>7.7559455295369419</c:v>
                </c:pt>
                <c:pt idx="380">
                  <c:v>7.7719684421999693</c:v>
                </c:pt>
                <c:pt idx="381">
                  <c:v>7.785091885779936</c:v>
                </c:pt>
                <c:pt idx="382">
                  <c:v>7.795468583625909</c:v>
                </c:pt>
                <c:pt idx="383">
                  <c:v>7.8032410404382668</c:v>
                </c:pt>
                <c:pt idx="384">
                  <c:v>7.808542306585819</c:v>
                </c:pt>
                <c:pt idx="385">
                  <c:v>7.8114966885184645</c:v>
                </c:pt>
                <c:pt idx="386">
                  <c:v>7.8122204077787227</c:v>
                </c:pt>
                <c:pt idx="387">
                  <c:v>7.8108222113365464</c:v>
                </c:pt>
                <c:pt idx="388">
                  <c:v>7.8074039360858443</c:v>
                </c:pt>
                <c:pt idx="389">
                  <c:v>7.8020610303739986</c:v>
                </c:pt>
                <c:pt idx="390">
                  <c:v>7.794883035408632</c:v>
                </c:pt>
                <c:pt idx="391">
                  <c:v>7.7859540293153682</c:v>
                </c:pt>
                <c:pt idx="392">
                  <c:v>7.7753530365193226</c:v>
                </c:pt>
                <c:pt idx="393">
                  <c:v>7.7631544050014964</c:v>
                </c:pt>
                <c:pt idx="394">
                  <c:v>7.7494281538470791</c:v>
                </c:pt>
                <c:pt idx="395">
                  <c:v>7.7342402933615073</c:v>
                </c:pt>
                <c:pt idx="396">
                  <c:v>7.7176531198867577</c:v>
                </c:pt>
                <c:pt idx="397">
                  <c:v>7.6997254873076564</c:v>
                </c:pt>
                <c:pt idx="398">
                  <c:v>7.6805130570986861</c:v>
                </c:pt>
                <c:pt idx="399">
                  <c:v>7.6600685286274217</c:v>
                </c:pt>
                <c:pt idx="400">
                  <c:v>7.6384418513022014</c:v>
                </c:pt>
                <c:pt idx="401">
                  <c:v>7.6156804200301611</c:v>
                </c:pt>
                <c:pt idx="402">
                  <c:v>7.5918292553371982</c:v>
                </c:pt>
                <c:pt idx="403">
                  <c:v>7.5669311693942278</c:v>
                </c:pt>
                <c:pt idx="404">
                  <c:v>7.5410269190941843</c:v>
                </c:pt>
                <c:pt idx="405">
                  <c:v>7.514155347231279</c:v>
                </c:pt>
                <c:pt idx="406">
                  <c:v>7.4863535127481278</c:v>
                </c:pt>
                <c:pt idx="407">
                  <c:v>7.4576568109367667</c:v>
                </c:pt>
                <c:pt idx="408">
                  <c:v>7.4280990844064165</c:v>
                </c:pt>
                <c:pt idx="409">
                  <c:v>7.3977127255632968</c:v>
                </c:pt>
                <c:pt idx="410">
                  <c:v>7.3665287712859104</c:v>
                </c:pt>
                <c:pt idx="411">
                  <c:v>7.3345769904222013</c:v>
                </c:pt>
                <c:pt idx="412">
                  <c:v>7.3018859646828833</c:v>
                </c:pt>
                <c:pt idx="413">
                  <c:v>7.2684831634573355</c:v>
                </c:pt>
                <c:pt idx="414">
                  <c:v>7.2343950130346961</c:v>
                </c:pt>
                <c:pt idx="415">
                  <c:v>7.1996469606726681</c:v>
                </c:pt>
                <c:pt idx="416">
                  <c:v>7.1642635339198382</c:v>
                </c:pt>
                <c:pt idx="417">
                  <c:v>7.1282683955638344</c:v>
                </c:pt>
                <c:pt idx="418">
                  <c:v>7.0916843945467782</c:v>
                </c:pt>
                <c:pt idx="419">
                  <c:v>7.0545336131616061</c:v>
                </c:pt>
                <c:pt idx="420">
                  <c:v>7.0168374108170282</c:v>
                </c:pt>
                <c:pt idx="421">
                  <c:v>6.9786164646354489</c:v>
                </c:pt>
                <c:pt idx="422">
                  <c:v>6.9398908071267194</c:v>
                </c:pt>
                <c:pt idx="423">
                  <c:v>6.9006798611609081</c:v>
                </c:pt>
                <c:pt idx="424">
                  <c:v>6.8610024724453691</c:v>
                </c:pt>
                <c:pt idx="425">
                  <c:v>6.8208769396948252</c:v>
                </c:pt>
                <c:pt idx="426">
                  <c:v>6.7803210426682794</c:v>
                </c:pt>
                <c:pt idx="427">
                  <c:v>6.7393520682326375</c:v>
                </c:pt>
                <c:pt idx="428">
                  <c:v>6.6979868346004068</c:v>
                </c:pt>
                <c:pt idx="429">
                  <c:v>6.6562417138772023</c:v>
                </c:pt>
                <c:pt idx="430">
                  <c:v>6.6141326530442139</c:v>
                </c:pt>
                <c:pt idx="431">
                  <c:v>6.571675193491088</c:v>
                </c:pt>
                <c:pt idx="432">
                  <c:v>6.5288844892056801</c:v>
                </c:pt>
                <c:pt idx="433">
                  <c:v>6.4857753237190714</c:v>
                </c:pt>
                <c:pt idx="434">
                  <c:v>6.4423621258966035</c:v>
                </c:pt>
                <c:pt idx="435">
                  <c:v>6.3986589846588666</c:v>
                </c:pt>
                <c:pt idx="436">
                  <c:v>6.3546796627102111</c:v>
                </c:pt>
                <c:pt idx="437">
                  <c:v>6.3104376093465264</c:v>
                </c:pt>
                <c:pt idx="438">
                  <c:v>6.2659459724085966</c:v>
                </c:pt>
                <c:pt idx="439">
                  <c:v>6.2212176094426095</c:v>
                </c:pt>
                <c:pt idx="440">
                  <c:v>6.1762650981245262</c:v>
                </c:pt>
                <c:pt idx="441">
                  <c:v>6.1311007460012057</c:v>
                </c:pt>
                <c:pt idx="442">
                  <c:v>6.0857365995969808</c:v>
                </c:pt>
                <c:pt idx="443">
                  <c:v>6.0401844529311042</c:v>
                </c:pt>
                <c:pt idx="444">
                  <c:v>5.994455855487967</c:v>
                </c:pt>
                <c:pt idx="445">
                  <c:v>5.9485621196791598</c:v>
                </c:pt>
                <c:pt idx="446">
                  <c:v>5.9025143278335186</c:v>
                </c:pt>
                <c:pt idx="447">
                  <c:v>5.8563233387487408</c:v>
                </c:pt>
                <c:pt idx="448">
                  <c:v>5.8099997938358428</c:v>
                </c:pt>
                <c:pt idx="449">
                  <c:v>5.7635541228854041</c:v>
                </c:pt>
                <c:pt idx="450">
                  <c:v>5.7169965494825554</c:v>
                </c:pt>
                <c:pt idx="451">
                  <c:v>5.6703370960958468</c:v>
                </c:pt>
                <c:pt idx="452">
                  <c:v>5.6235855888631869</c:v>
                </c:pt>
                <c:pt idx="453">
                  <c:v>5.5767516620966413</c:v>
                </c:pt>
                <c:pt idx="454">
                  <c:v>5.529844762526233</c:v>
                </c:pt>
                <c:pt idx="455">
                  <c:v>5.4828741533014789</c:v>
                </c:pt>
                <c:pt idx="456">
                  <c:v>5.4358489177682268</c:v>
                </c:pt>
                <c:pt idx="457">
                  <c:v>5.3887779630369765</c:v>
                </c:pt>
                <c:pt idx="458">
                  <c:v>5.341670023357926</c:v>
                </c:pt>
                <c:pt idx="459">
                  <c:v>5.2945336633167921</c:v>
                </c:pt>
                <c:pt idx="460">
                  <c:v>5.2473772808645958</c:v>
                </c:pt>
                <c:pt idx="461">
                  <c:v>5.2002091101936365</c:v>
                </c:pt>
                <c:pt idx="462">
                  <c:v>5.1530372244710456</c:v>
                </c:pt>
                <c:pt idx="463">
                  <c:v>5.1058695384406132</c:v>
                </c:pt>
                <c:pt idx="464">
                  <c:v>5.0587138109027139</c:v>
                </c:pt>
                <c:pt idx="465">
                  <c:v>5.011577647081606</c:v>
                </c:pt>
                <c:pt idx="466">
                  <c:v>4.9644685008886542</c:v>
                </c:pt>
                <c:pt idx="467">
                  <c:v>4.9173936770895255</c:v>
                </c:pt>
                <c:pt idx="468">
                  <c:v>4.8703603333827932</c:v>
                </c:pt>
                <c:pt idx="469">
                  <c:v>4.8233754823968331</c:v>
                </c:pt>
                <c:pt idx="470">
                  <c:v>4.7764459936115911</c:v>
                </c:pt>
                <c:pt idx="471">
                  <c:v>4.7295785952111</c:v>
                </c:pt>
                <c:pt idx="472">
                  <c:v>4.682779875872467</c:v>
                </c:pt>
                <c:pt idx="473">
                  <c:v>4.6360562864963999</c:v>
                </c:pt>
                <c:pt idx="474">
                  <c:v>4.589414141884272</c:v>
                </c:pt>
                <c:pt idx="475">
                  <c:v>4.5428596223660476</c:v>
                </c:pt>
                <c:pt idx="476">
                  <c:v>4.4963987753833976</c:v>
                </c:pt>
                <c:pt idx="477">
                  <c:v>4.4500375170317676</c:v>
                </c:pt>
                <c:pt idx="478">
                  <c:v>4.4037816335650772</c:v>
                </c:pt>
                <c:pt idx="479">
                  <c:v>4.3576367828663347</c:v>
                </c:pt>
                <c:pt idx="480">
                  <c:v>4.3116084958872696</c:v>
                </c:pt>
                <c:pt idx="481">
                  <c:v>4.2657021780598816</c:v>
                </c:pt>
                <c:pt idx="482">
                  <c:v>4.2199231106824664</c:v>
                </c:pt>
                <c:pt idx="483">
                  <c:v>4.174276452282645</c:v>
                </c:pt>
                <c:pt idx="484">
                  <c:v>4.1287672399596413</c:v>
                </c:pt>
                <c:pt idx="485">
                  <c:v>4.0834003907077969</c:v>
                </c:pt>
                <c:pt idx="486">
                  <c:v>4.0381807027233645</c:v>
                </c:pt>
                <c:pt idx="487">
                  <c:v>3.9931128566962615</c:v>
                </c:pt>
                <c:pt idx="488">
                  <c:v>3.9482014170883852</c:v>
                </c:pt>
                <c:pt idx="489">
                  <c:v>3.9034508334000169</c:v>
                </c:pt>
                <c:pt idx="490">
                  <c:v>3.8588654414256327</c:v>
                </c:pt>
                <c:pt idx="491">
                  <c:v>3.8144494645003375</c:v>
                </c:pt>
                <c:pt idx="492">
                  <c:v>3.7702070147380926</c:v>
                </c:pt>
                <c:pt idx="493">
                  <c:v>3.72614209426267</c:v>
                </c:pt>
                <c:pt idx="494">
                  <c:v>3.6822585964323551</c:v>
                </c:pt>
                <c:pt idx="495">
                  <c:v>3.6385603070590875</c:v>
                </c:pt>
                <c:pt idx="496">
                  <c:v>3.5950509056229301</c:v>
                </c:pt>
                <c:pt idx="497">
                  <c:v>3.5517339664823764</c:v>
                </c:pt>
                <c:pt idx="498">
                  <c:v>3.5086129600812219</c:v>
                </c:pt>
                <c:pt idx="499">
                  <c:v>3.4656912541524001</c:v>
                </c:pt>
                <c:pt idx="500">
                  <c:v>3.422972114919272</c:v>
                </c:pt>
                <c:pt idx="501">
                  <c:v>3.3804587082948183</c:v>
                </c:pt>
                <c:pt idx="502">
                  <c:v>3.3381541010789624</c:v>
                </c:pt>
                <c:pt idx="503">
                  <c:v>3.2960612621543621</c:v>
                </c:pt>
                <c:pt idx="504">
                  <c:v>3.2541830636809319</c:v>
                </c:pt>
                <c:pt idx="505">
                  <c:v>3.212522282289199</c:v>
                </c:pt>
                <c:pt idx="506">
                  <c:v>3.1710816002727285</c:v>
                </c:pt>
                <c:pt idx="507">
                  <c:v>3.1298636067796366</c:v>
                </c:pt>
                <c:pt idx="508">
                  <c:v>3.0888707990033453</c:v>
                </c:pt>
                <c:pt idx="509">
                  <c:v>3.0481055833725312</c:v>
                </c:pt>
                <c:pt idx="510">
                  <c:v>3.0075702767403492</c:v>
                </c:pt>
                <c:pt idx="511">
                  <c:v>2.9672671075728454</c:v>
                </c:pt>
                <c:pt idx="512">
                  <c:v>2.9271982171365689</c:v>
                </c:pt>
                <c:pt idx="513">
                  <c:v>2.9271584886719522</c:v>
                </c:pt>
                <c:pt idx="514">
                  <c:v>2.9271187604416946</c:v>
                </c:pt>
                <c:pt idx="515">
                  <c:v>2.9270790324457936</c:v>
                </c:pt>
                <c:pt idx="516">
                  <c:v>2.9270393046842527</c:v>
                </c:pt>
                <c:pt idx="517">
                  <c:v>2.9269995771570736</c:v>
                </c:pt>
                <c:pt idx="518">
                  <c:v>2.9269598498642591</c:v>
                </c:pt>
                <c:pt idx="519">
                  <c:v>2.9269201228058073</c:v>
                </c:pt>
                <c:pt idx="520">
                  <c:v>2.9268803959817324</c:v>
                </c:pt>
                <c:pt idx="521">
                  <c:v>2.9268406693920177</c:v>
                </c:pt>
                <c:pt idx="522">
                  <c:v>2.9268009430366808</c:v>
                </c:pt>
                <c:pt idx="523">
                  <c:v>2.9267612169157156</c:v>
                </c:pt>
                <c:pt idx="524">
                  <c:v>2.9267214910291282</c:v>
                </c:pt>
                <c:pt idx="525">
                  <c:v>2.9266817653769186</c:v>
                </c:pt>
                <c:pt idx="526">
                  <c:v>2.9266420399590878</c:v>
                </c:pt>
                <c:pt idx="527">
                  <c:v>2.9266023147756419</c:v>
                </c:pt>
                <c:pt idx="528">
                  <c:v>2.9265625898265748</c:v>
                </c:pt>
                <c:pt idx="529">
                  <c:v>2.9265228651118971</c:v>
                </c:pt>
                <c:pt idx="530">
                  <c:v>2.9264831406316008</c:v>
                </c:pt>
                <c:pt idx="531">
                  <c:v>2.9264434163857027</c:v>
                </c:pt>
                <c:pt idx="532">
                  <c:v>2.9264036923741923</c:v>
                </c:pt>
                <c:pt idx="533">
                  <c:v>2.9263639685970748</c:v>
                </c:pt>
                <c:pt idx="534">
                  <c:v>2.9263242450543547</c:v>
                </c:pt>
                <c:pt idx="535">
                  <c:v>2.926284521746032</c:v>
                </c:pt>
                <c:pt idx="536">
                  <c:v>2.9262447986721041</c:v>
                </c:pt>
                <c:pt idx="537">
                  <c:v>2.9262050758325859</c:v>
                </c:pt>
                <c:pt idx="538">
                  <c:v>2.9261653532274661</c:v>
                </c:pt>
                <c:pt idx="539">
                  <c:v>2.9261256308567516</c:v>
                </c:pt>
                <c:pt idx="540">
                  <c:v>2.9260859087204443</c:v>
                </c:pt>
                <c:pt idx="541">
                  <c:v>2.9260461868185486</c:v>
                </c:pt>
                <c:pt idx="542">
                  <c:v>2.9260064651510609</c:v>
                </c:pt>
                <c:pt idx="543">
                  <c:v>2.9259667437179866</c:v>
                </c:pt>
                <c:pt idx="544">
                  <c:v>2.9259270225193283</c:v>
                </c:pt>
                <c:pt idx="545">
                  <c:v>2.9258873015550897</c:v>
                </c:pt>
                <c:pt idx="546">
                  <c:v>2.9258475808252697</c:v>
                </c:pt>
                <c:pt idx="547">
                  <c:v>2.9258078603298694</c:v>
                </c:pt>
                <c:pt idx="548">
                  <c:v>2.9257681400688931</c:v>
                </c:pt>
                <c:pt idx="549">
                  <c:v>2.9257284200423408</c:v>
                </c:pt>
                <c:pt idx="550">
                  <c:v>2.9256887002502188</c:v>
                </c:pt>
                <c:pt idx="551">
                  <c:v>2.9256489806925199</c:v>
                </c:pt>
                <c:pt idx="552">
                  <c:v>2.9256092613692548</c:v>
                </c:pt>
                <c:pt idx="553">
                  <c:v>2.9255695422804227</c:v>
                </c:pt>
                <c:pt idx="554">
                  <c:v>2.925529823426027</c:v>
                </c:pt>
                <c:pt idx="555">
                  <c:v>2.9254901048060686</c:v>
                </c:pt>
                <c:pt idx="556">
                  <c:v>2.9254503864205441</c:v>
                </c:pt>
                <c:pt idx="557">
                  <c:v>2.9254106682694641</c:v>
                </c:pt>
                <c:pt idx="558">
                  <c:v>2.9253709503528276</c:v>
                </c:pt>
                <c:pt idx="559">
                  <c:v>2.925331232670632</c:v>
                </c:pt>
                <c:pt idx="560">
                  <c:v>2.9252915152228844</c:v>
                </c:pt>
                <c:pt idx="561">
                  <c:v>2.925251798009584</c:v>
                </c:pt>
                <c:pt idx="562">
                  <c:v>2.9252120810307378</c:v>
                </c:pt>
                <c:pt idx="563">
                  <c:v>2.9251723642863432</c:v>
                </c:pt>
                <c:pt idx="564">
                  <c:v>2.9251326477764001</c:v>
                </c:pt>
                <c:pt idx="565">
                  <c:v>2.9250929315009175</c:v>
                </c:pt>
                <c:pt idx="566">
                  <c:v>2.9250532154598892</c:v>
                </c:pt>
                <c:pt idx="567">
                  <c:v>2.9250134996533248</c:v>
                </c:pt>
                <c:pt idx="568">
                  <c:v>2.9249737840812209</c:v>
                </c:pt>
                <c:pt idx="569">
                  <c:v>2.9249340687435792</c:v>
                </c:pt>
                <c:pt idx="570">
                  <c:v>2.9248943536404113</c:v>
                </c:pt>
                <c:pt idx="571">
                  <c:v>2.9248546387717056</c:v>
                </c:pt>
                <c:pt idx="572">
                  <c:v>2.9248149241374675</c:v>
                </c:pt>
                <c:pt idx="573">
                  <c:v>2.9247752097377067</c:v>
                </c:pt>
                <c:pt idx="574">
                  <c:v>2.9247354955724187</c:v>
                </c:pt>
                <c:pt idx="575">
                  <c:v>2.9246957816416073</c:v>
                </c:pt>
                <c:pt idx="576">
                  <c:v>2.9246560679452713</c:v>
                </c:pt>
                <c:pt idx="577">
                  <c:v>2.9246163544834154</c:v>
                </c:pt>
                <c:pt idx="578">
                  <c:v>2.9245766412560421</c:v>
                </c:pt>
                <c:pt idx="579">
                  <c:v>2.9245369282631533</c:v>
                </c:pt>
                <c:pt idx="580">
                  <c:v>2.9244972155047533</c:v>
                </c:pt>
                <c:pt idx="581">
                  <c:v>2.9244575029808395</c:v>
                </c:pt>
                <c:pt idx="582">
                  <c:v>2.9244177906914137</c:v>
                </c:pt>
                <c:pt idx="583">
                  <c:v>2.9243780786364786</c:v>
                </c:pt>
                <c:pt idx="584">
                  <c:v>2.9243383668160385</c:v>
                </c:pt>
                <c:pt idx="585">
                  <c:v>2.9242986552300936</c:v>
                </c:pt>
                <c:pt idx="586">
                  <c:v>2.9242589438786482</c:v>
                </c:pt>
                <c:pt idx="587">
                  <c:v>2.9242192327616987</c:v>
                </c:pt>
                <c:pt idx="588">
                  <c:v>2.9241795218792541</c:v>
                </c:pt>
                <c:pt idx="589">
                  <c:v>2.9241398112313144</c:v>
                </c:pt>
                <c:pt idx="590">
                  <c:v>2.9241001008178795</c:v>
                </c:pt>
                <c:pt idx="591">
                  <c:v>2.9240603906389477</c:v>
                </c:pt>
                <c:pt idx="592">
                  <c:v>2.9240206806945306</c:v>
                </c:pt>
                <c:pt idx="593">
                  <c:v>2.9239809709846218</c:v>
                </c:pt>
                <c:pt idx="594">
                  <c:v>2.9239412615092251</c:v>
                </c:pt>
                <c:pt idx="595">
                  <c:v>2.9239015522683482</c:v>
                </c:pt>
                <c:pt idx="596">
                  <c:v>2.9238618432619825</c:v>
                </c:pt>
                <c:pt idx="597">
                  <c:v>2.9238221344901403</c:v>
                </c:pt>
                <c:pt idx="598">
                  <c:v>2.9237824259528145</c:v>
                </c:pt>
                <c:pt idx="599">
                  <c:v>2.9237427176500184</c:v>
                </c:pt>
                <c:pt idx="600">
                  <c:v>2.9237030095817396</c:v>
                </c:pt>
                <c:pt idx="601">
                  <c:v>2.9236633017479976</c:v>
                </c:pt>
                <c:pt idx="602">
                  <c:v>2.9236235941487756</c:v>
                </c:pt>
                <c:pt idx="603">
                  <c:v>2.9235838867840869</c:v>
                </c:pt>
                <c:pt idx="604">
                  <c:v>2.9235441796539323</c:v>
                </c:pt>
                <c:pt idx="605">
                  <c:v>2.9235044727583137</c:v>
                </c:pt>
                <c:pt idx="606">
                  <c:v>2.9234647660972302</c:v>
                </c:pt>
                <c:pt idx="607">
                  <c:v>2.9234250596706852</c:v>
                </c:pt>
                <c:pt idx="608">
                  <c:v>2.9233853534786842</c:v>
                </c:pt>
                <c:pt idx="609">
                  <c:v>2.9233456475212227</c:v>
                </c:pt>
                <c:pt idx="610">
                  <c:v>2.9233059417983069</c:v>
                </c:pt>
                <c:pt idx="611">
                  <c:v>2.9232662363099342</c:v>
                </c:pt>
                <c:pt idx="612">
                  <c:v>2.9232265310561152</c:v>
                </c:pt>
                <c:pt idx="613">
                  <c:v>2.9231868260368437</c:v>
                </c:pt>
                <c:pt idx="614">
                  <c:v>2.9231471212521249</c:v>
                </c:pt>
                <c:pt idx="615">
                  <c:v>2.9231074167019599</c:v>
                </c:pt>
                <c:pt idx="616">
                  <c:v>2.9230677123863558</c:v>
                </c:pt>
                <c:pt idx="617">
                  <c:v>2.9230280083053044</c:v>
                </c:pt>
                <c:pt idx="618">
                  <c:v>2.9229883044588165</c:v>
                </c:pt>
                <c:pt idx="619">
                  <c:v>2.9229486008468903</c:v>
                </c:pt>
                <c:pt idx="620">
                  <c:v>2.922908897469525</c:v>
                </c:pt>
                <c:pt idx="621">
                  <c:v>2.9228691943267284</c:v>
                </c:pt>
                <c:pt idx="622">
                  <c:v>2.9228294914185025</c:v>
                </c:pt>
                <c:pt idx="623">
                  <c:v>2.9227897887448453</c:v>
                </c:pt>
                <c:pt idx="624">
                  <c:v>2.9227500863057534</c:v>
                </c:pt>
                <c:pt idx="625">
                  <c:v>2.9227103841012445</c:v>
                </c:pt>
                <c:pt idx="626">
                  <c:v>2.9226706821313115</c:v>
                </c:pt>
                <c:pt idx="627">
                  <c:v>2.9226309803959545</c:v>
                </c:pt>
                <c:pt idx="628">
                  <c:v>2.9225912788951733</c:v>
                </c:pt>
                <c:pt idx="629">
                  <c:v>2.922551577628977</c:v>
                </c:pt>
                <c:pt idx="630">
                  <c:v>2.9225118765973628</c:v>
                </c:pt>
                <c:pt idx="631">
                  <c:v>2.922472175800336</c:v>
                </c:pt>
                <c:pt idx="632">
                  <c:v>2.9224324752378958</c:v>
                </c:pt>
                <c:pt idx="633">
                  <c:v>2.9223927749100431</c:v>
                </c:pt>
                <c:pt idx="634">
                  <c:v>2.9223530748167876</c:v>
                </c:pt>
                <c:pt idx="635">
                  <c:v>2.9223133749581223</c:v>
                </c:pt>
                <c:pt idx="636">
                  <c:v>2.9222736753340506</c:v>
                </c:pt>
                <c:pt idx="637">
                  <c:v>2.9222339759445797</c:v>
                </c:pt>
                <c:pt idx="638">
                  <c:v>2.9221942767897078</c:v>
                </c:pt>
                <c:pt idx="639">
                  <c:v>2.9221545778694376</c:v>
                </c:pt>
                <c:pt idx="640">
                  <c:v>2.9221148791837734</c:v>
                </c:pt>
                <c:pt idx="641">
                  <c:v>2.9220751807327074</c:v>
                </c:pt>
                <c:pt idx="642">
                  <c:v>2.9220354825162529</c:v>
                </c:pt>
                <c:pt idx="643">
                  <c:v>2.921995784534408</c:v>
                </c:pt>
                <c:pt idx="644">
                  <c:v>2.9219560867871737</c:v>
                </c:pt>
                <c:pt idx="645">
                  <c:v>2.9219163892745517</c:v>
                </c:pt>
                <c:pt idx="646">
                  <c:v>2.9218766919965429</c:v>
                </c:pt>
                <c:pt idx="647">
                  <c:v>2.9218369949531553</c:v>
                </c:pt>
                <c:pt idx="648">
                  <c:v>2.9217972981443836</c:v>
                </c:pt>
                <c:pt idx="649">
                  <c:v>2.9217576015702322</c:v>
                </c:pt>
                <c:pt idx="650">
                  <c:v>2.9217179052307065</c:v>
                </c:pt>
                <c:pt idx="651">
                  <c:v>2.9216782091258038</c:v>
                </c:pt>
                <c:pt idx="652">
                  <c:v>2.9216385132555276</c:v>
                </c:pt>
                <c:pt idx="653">
                  <c:v>2.9215988176198815</c:v>
                </c:pt>
                <c:pt idx="654">
                  <c:v>2.9215591222188637</c:v>
                </c:pt>
                <c:pt idx="655">
                  <c:v>2.9215194270524831</c:v>
                </c:pt>
                <c:pt idx="656">
                  <c:v>2.9214797321207371</c:v>
                </c:pt>
                <c:pt idx="657">
                  <c:v>2.9214400374236202</c:v>
                </c:pt>
                <c:pt idx="658">
                  <c:v>2.9214003429611477</c:v>
                </c:pt>
                <c:pt idx="659">
                  <c:v>2.9213606487333141</c:v>
                </c:pt>
                <c:pt idx="660">
                  <c:v>2.9213209547401249</c:v>
                </c:pt>
                <c:pt idx="661">
                  <c:v>2.9212812609815799</c:v>
                </c:pt>
                <c:pt idx="662">
                  <c:v>2.9212415674576793</c:v>
                </c:pt>
                <c:pt idx="663">
                  <c:v>2.9212018741684291</c:v>
                </c:pt>
                <c:pt idx="664">
                  <c:v>2.9211621811138242</c:v>
                </c:pt>
                <c:pt idx="665">
                  <c:v>2.9211224882938742</c:v>
                </c:pt>
                <c:pt idx="666">
                  <c:v>2.9210827957085783</c:v>
                </c:pt>
                <c:pt idx="667">
                  <c:v>2.9210431033579418</c:v>
                </c:pt>
                <c:pt idx="668">
                  <c:v>2.9210034112419603</c:v>
                </c:pt>
                <c:pt idx="669">
                  <c:v>2.9209637193606399</c:v>
                </c:pt>
                <c:pt idx="670">
                  <c:v>2.9209240277139825</c:v>
                </c:pt>
                <c:pt idx="671">
                  <c:v>2.9208843363019854</c:v>
                </c:pt>
                <c:pt idx="672">
                  <c:v>2.9208446451246566</c:v>
                </c:pt>
                <c:pt idx="673">
                  <c:v>2.9208049541819943</c:v>
                </c:pt>
                <c:pt idx="674">
                  <c:v>2.9207652634740029</c:v>
                </c:pt>
                <c:pt idx="675">
                  <c:v>2.9207255730006834</c:v>
                </c:pt>
                <c:pt idx="676">
                  <c:v>2.9206858827620357</c:v>
                </c:pt>
                <c:pt idx="677">
                  <c:v>2.9206461927580669</c:v>
                </c:pt>
                <c:pt idx="678">
                  <c:v>2.9206065029887736</c:v>
                </c:pt>
                <c:pt idx="679">
                  <c:v>2.9205668134541583</c:v>
                </c:pt>
                <c:pt idx="680">
                  <c:v>2.9205271241542254</c:v>
                </c:pt>
                <c:pt idx="681">
                  <c:v>2.9204874350889787</c:v>
                </c:pt>
                <c:pt idx="682">
                  <c:v>2.9204477462584117</c:v>
                </c:pt>
                <c:pt idx="683">
                  <c:v>2.9204080576625397</c:v>
                </c:pt>
                <c:pt idx="684">
                  <c:v>2.9203683693013494</c:v>
                </c:pt>
                <c:pt idx="685">
                  <c:v>2.9203286811748548</c:v>
                </c:pt>
                <c:pt idx="686">
                  <c:v>2.9202889932830525</c:v>
                </c:pt>
                <c:pt idx="687">
                  <c:v>2.9202493056259469</c:v>
                </c:pt>
                <c:pt idx="688">
                  <c:v>2.9202096182035362</c:v>
                </c:pt>
                <c:pt idx="689">
                  <c:v>2.9201699310158258</c:v>
                </c:pt>
                <c:pt idx="690">
                  <c:v>2.9201302440628174</c:v>
                </c:pt>
                <c:pt idx="691">
                  <c:v>2.9200905573445075</c:v>
                </c:pt>
                <c:pt idx="692">
                  <c:v>2.9200508708609059</c:v>
                </c:pt>
                <c:pt idx="693">
                  <c:v>2.9200111846120143</c:v>
                </c:pt>
                <c:pt idx="694">
                  <c:v>2.9199714985978229</c:v>
                </c:pt>
                <c:pt idx="695">
                  <c:v>2.9199318128183487</c:v>
                </c:pt>
                <c:pt idx="696">
                  <c:v>2.9198921272735836</c:v>
                </c:pt>
                <c:pt idx="697">
                  <c:v>2.9198524419635392</c:v>
                </c:pt>
                <c:pt idx="698">
                  <c:v>2.9198127568882066</c:v>
                </c:pt>
                <c:pt idx="699">
                  <c:v>2.9197730720475903</c:v>
                </c:pt>
                <c:pt idx="700">
                  <c:v>2.9197333874416982</c:v>
                </c:pt>
                <c:pt idx="701">
                  <c:v>2.9196937030705241</c:v>
                </c:pt>
                <c:pt idx="702">
                  <c:v>2.9196540189340823</c:v>
                </c:pt>
                <c:pt idx="703">
                  <c:v>2.9196143350323611</c:v>
                </c:pt>
                <c:pt idx="704">
                  <c:v>2.919574651365374</c:v>
                </c:pt>
                <c:pt idx="705">
                  <c:v>2.9195349679331084</c:v>
                </c:pt>
                <c:pt idx="706">
                  <c:v>2.9194952847355831</c:v>
                </c:pt>
                <c:pt idx="707">
                  <c:v>2.9194556017727873</c:v>
                </c:pt>
                <c:pt idx="708">
                  <c:v>2.9194159190447291</c:v>
                </c:pt>
                <c:pt idx="709">
                  <c:v>2.9193762365514075</c:v>
                </c:pt>
                <c:pt idx="710">
                  <c:v>2.9193365542928271</c:v>
                </c:pt>
                <c:pt idx="711">
                  <c:v>2.9192968722689878</c:v>
                </c:pt>
                <c:pt idx="712">
                  <c:v>2.919257190479895</c:v>
                </c:pt>
                <c:pt idx="713">
                  <c:v>2.9192175089255468</c:v>
                </c:pt>
                <c:pt idx="714">
                  <c:v>2.9191778276059441</c:v>
                </c:pt>
                <c:pt idx="715">
                  <c:v>2.9191381465210924</c:v>
                </c:pt>
                <c:pt idx="716">
                  <c:v>2.9190984656709924</c:v>
                </c:pt>
                <c:pt idx="717">
                  <c:v>2.9190587850556478</c:v>
                </c:pt>
                <c:pt idx="718">
                  <c:v>2.9190191046750558</c:v>
                </c:pt>
                <c:pt idx="719">
                  <c:v>2.9189794245292227</c:v>
                </c:pt>
                <c:pt idx="720">
                  <c:v>2.918939744618152</c:v>
                </c:pt>
                <c:pt idx="721">
                  <c:v>2.9189000649418402</c:v>
                </c:pt>
                <c:pt idx="722">
                  <c:v>2.9188603855002944</c:v>
                </c:pt>
                <c:pt idx="723">
                  <c:v>2.9188207062935092</c:v>
                </c:pt>
                <c:pt idx="724">
                  <c:v>2.9187810273214954</c:v>
                </c:pt>
                <c:pt idx="725">
                  <c:v>2.9187413485842466</c:v>
                </c:pt>
                <c:pt idx="726">
                  <c:v>2.9187016700817727</c:v>
                </c:pt>
                <c:pt idx="727">
                  <c:v>2.9186619918140702</c:v>
                </c:pt>
                <c:pt idx="728">
                  <c:v>2.9186223137811425</c:v>
                </c:pt>
                <c:pt idx="729">
                  <c:v>2.9185826359829958</c:v>
                </c:pt>
                <c:pt idx="730">
                  <c:v>2.9185429584196232</c:v>
                </c:pt>
                <c:pt idx="731">
                  <c:v>2.9185032810910343</c:v>
                </c:pt>
                <c:pt idx="732">
                  <c:v>2.9184636039972256</c:v>
                </c:pt>
                <c:pt idx="733">
                  <c:v>2.9184239271382051</c:v>
                </c:pt>
                <c:pt idx="734">
                  <c:v>2.9183842505139674</c:v>
                </c:pt>
                <c:pt idx="735">
                  <c:v>2.918344574124518</c:v>
                </c:pt>
                <c:pt idx="736">
                  <c:v>2.9183048979698665</c:v>
                </c:pt>
                <c:pt idx="737">
                  <c:v>2.9182652220500032</c:v>
                </c:pt>
                <c:pt idx="738">
                  <c:v>2.9182255463649325</c:v>
                </c:pt>
                <c:pt idx="739">
                  <c:v>2.9181858709146598</c:v>
                </c:pt>
                <c:pt idx="740">
                  <c:v>2.9181461956991841</c:v>
                </c:pt>
                <c:pt idx="741">
                  <c:v>2.9181065207185135</c:v>
                </c:pt>
                <c:pt idx="742">
                  <c:v>2.9180668459726435</c:v>
                </c:pt>
                <c:pt idx="743">
                  <c:v>2.9180271714615751</c:v>
                </c:pt>
                <c:pt idx="744">
                  <c:v>2.9179874971853161</c:v>
                </c:pt>
                <c:pt idx="745">
                  <c:v>2.9179478231438623</c:v>
                </c:pt>
                <c:pt idx="746">
                  <c:v>2.9179081493372188</c:v>
                </c:pt>
                <c:pt idx="747">
                  <c:v>2.9178684757653901</c:v>
                </c:pt>
                <c:pt idx="748">
                  <c:v>2.9178288024283754</c:v>
                </c:pt>
                <c:pt idx="749">
                  <c:v>2.9177891293261737</c:v>
                </c:pt>
                <c:pt idx="750">
                  <c:v>2.9177494564587896</c:v>
                </c:pt>
                <c:pt idx="751">
                  <c:v>2.9177097838262291</c:v>
                </c:pt>
                <c:pt idx="752">
                  <c:v>2.9176701114284898</c:v>
                </c:pt>
                <c:pt idx="753">
                  <c:v>2.9176304392655705</c:v>
                </c:pt>
                <c:pt idx="754">
                  <c:v>2.9175907673374795</c:v>
                </c:pt>
                <c:pt idx="755">
                  <c:v>2.9175510956442148</c:v>
                </c:pt>
                <c:pt idx="756">
                  <c:v>2.9175114241857836</c:v>
                </c:pt>
                <c:pt idx="757">
                  <c:v>2.9174717529621823</c:v>
                </c:pt>
                <c:pt idx="758">
                  <c:v>2.9174320819734127</c:v>
                </c:pt>
                <c:pt idx="759">
                  <c:v>2.9173924112194785</c:v>
                </c:pt>
                <c:pt idx="760">
                  <c:v>2.9173527407003839</c:v>
                </c:pt>
                <c:pt idx="761">
                  <c:v>2.917313070416129</c:v>
                </c:pt>
                <c:pt idx="762">
                  <c:v>2.9172734003667111</c:v>
                </c:pt>
                <c:pt idx="763">
                  <c:v>2.9172337305521401</c:v>
                </c:pt>
                <c:pt idx="764">
                  <c:v>2.9171940609724141</c:v>
                </c:pt>
                <c:pt idx="765">
                  <c:v>2.9171543916275331</c:v>
                </c:pt>
                <c:pt idx="766">
                  <c:v>2.9171147225175043</c:v>
                </c:pt>
                <c:pt idx="767">
                  <c:v>2.9170750536423213</c:v>
                </c:pt>
                <c:pt idx="768">
                  <c:v>2.9170353850019959</c:v>
                </c:pt>
                <c:pt idx="769">
                  <c:v>2.9169957165965235</c:v>
                </c:pt>
                <c:pt idx="770">
                  <c:v>2.9169560484259112</c:v>
                </c:pt>
                <c:pt idx="771">
                  <c:v>2.9169163804901546</c:v>
                </c:pt>
                <c:pt idx="772">
                  <c:v>2.9168767127892572</c:v>
                </c:pt>
                <c:pt idx="773">
                  <c:v>2.9168370453232253</c:v>
                </c:pt>
                <c:pt idx="774">
                  <c:v>2.9167973780920606</c:v>
                </c:pt>
                <c:pt idx="775">
                  <c:v>2.9167577110957561</c:v>
                </c:pt>
                <c:pt idx="776">
                  <c:v>2.9167180443343232</c:v>
                </c:pt>
                <c:pt idx="777">
                  <c:v>2.9166783778077603</c:v>
                </c:pt>
                <c:pt idx="778">
                  <c:v>2.9166387115160699</c:v>
                </c:pt>
                <c:pt idx="779">
                  <c:v>2.9165990454592556</c:v>
                </c:pt>
                <c:pt idx="780">
                  <c:v>2.916559379637313</c:v>
                </c:pt>
                <c:pt idx="781">
                  <c:v>2.9165197140502572</c:v>
                </c:pt>
                <c:pt idx="782">
                  <c:v>2.9164800486980722</c:v>
                </c:pt>
                <c:pt idx="783">
                  <c:v>2.9164403835807748</c:v>
                </c:pt>
                <c:pt idx="784">
                  <c:v>2.9164007186983598</c:v>
                </c:pt>
                <c:pt idx="785">
                  <c:v>2.916361054050828</c:v>
                </c:pt>
                <c:pt idx="786">
                  <c:v>2.9163213896381874</c:v>
                </c:pt>
                <c:pt idx="787">
                  <c:v>2.9162817254604372</c:v>
                </c:pt>
                <c:pt idx="788">
                  <c:v>2.916242061517579</c:v>
                </c:pt>
                <c:pt idx="789">
                  <c:v>2.9162023978096148</c:v>
                </c:pt>
                <c:pt idx="790">
                  <c:v>2.9161627343365435</c:v>
                </c:pt>
                <c:pt idx="791">
                  <c:v>2.9161230710983714</c:v>
                </c:pt>
                <c:pt idx="792">
                  <c:v>2.9160834080950968</c:v>
                </c:pt>
                <c:pt idx="793">
                  <c:v>2.9160437453267285</c:v>
                </c:pt>
                <c:pt idx="794">
                  <c:v>2.9160040827932603</c:v>
                </c:pt>
                <c:pt idx="795">
                  <c:v>2.9159644204946993</c:v>
                </c:pt>
                <c:pt idx="796">
                  <c:v>2.9159247584310446</c:v>
                </c:pt>
                <c:pt idx="797">
                  <c:v>2.9158850966023033</c:v>
                </c:pt>
                <c:pt idx="798">
                  <c:v>2.9158454350084666</c:v>
                </c:pt>
                <c:pt idx="799">
                  <c:v>2.9158057736495433</c:v>
                </c:pt>
                <c:pt idx="800">
                  <c:v>2.915766112525537</c:v>
                </c:pt>
                <c:pt idx="801">
                  <c:v>2.9157264516364503</c:v>
                </c:pt>
                <c:pt idx="802">
                  <c:v>2.9156867909822806</c:v>
                </c:pt>
                <c:pt idx="803">
                  <c:v>2.9156471305630314</c:v>
                </c:pt>
                <c:pt idx="804">
                  <c:v>2.9156074703787063</c:v>
                </c:pt>
                <c:pt idx="805">
                  <c:v>2.9155678104293035</c:v>
                </c:pt>
                <c:pt idx="806">
                  <c:v>2.9155281507148327</c:v>
                </c:pt>
                <c:pt idx="807">
                  <c:v>2.9154884912352879</c:v>
                </c:pt>
                <c:pt idx="808">
                  <c:v>2.9154488319906724</c:v>
                </c:pt>
                <c:pt idx="809">
                  <c:v>2.9154091729809917</c:v>
                </c:pt>
                <c:pt idx="810">
                  <c:v>2.9153695142062457</c:v>
                </c:pt>
                <c:pt idx="811">
                  <c:v>2.91532985566643</c:v>
                </c:pt>
                <c:pt idx="812">
                  <c:v>2.9152901973615579</c:v>
                </c:pt>
                <c:pt idx="813">
                  <c:v>2.9152505392916259</c:v>
                </c:pt>
                <c:pt idx="814">
                  <c:v>2.9152108814566375</c:v>
                </c:pt>
                <c:pt idx="815">
                  <c:v>2.9151712238565928</c:v>
                </c:pt>
                <c:pt idx="816">
                  <c:v>2.9151315664914952</c:v>
                </c:pt>
                <c:pt idx="817">
                  <c:v>2.9150919093613421</c:v>
                </c:pt>
                <c:pt idx="818">
                  <c:v>2.9150522524661389</c:v>
                </c:pt>
                <c:pt idx="819">
                  <c:v>2.9150125958058872</c:v>
                </c:pt>
                <c:pt idx="820">
                  <c:v>2.9149729393805943</c:v>
                </c:pt>
                <c:pt idx="821">
                  <c:v>2.9149332831902575</c:v>
                </c:pt>
                <c:pt idx="822">
                  <c:v>2.9148936272348758</c:v>
                </c:pt>
                <c:pt idx="823">
                  <c:v>2.9148539715144537</c:v>
                </c:pt>
                <c:pt idx="824">
                  <c:v>2.9148143160289974</c:v>
                </c:pt>
                <c:pt idx="825">
                  <c:v>2.9147746607785017</c:v>
                </c:pt>
                <c:pt idx="826">
                  <c:v>2.9147350057629717</c:v>
                </c:pt>
                <c:pt idx="827">
                  <c:v>2.914695350982405</c:v>
                </c:pt>
                <c:pt idx="828">
                  <c:v>2.9146556964368138</c:v>
                </c:pt>
                <c:pt idx="829">
                  <c:v>2.914616042126192</c:v>
                </c:pt>
                <c:pt idx="830">
                  <c:v>2.914576388050544</c:v>
                </c:pt>
                <c:pt idx="831">
                  <c:v>2.9145367342098725</c:v>
                </c:pt>
                <c:pt idx="832">
                  <c:v>2.9144970806041783</c:v>
                </c:pt>
                <c:pt idx="833">
                  <c:v>2.9144574272334589</c:v>
                </c:pt>
                <c:pt idx="834">
                  <c:v>2.9144177740977231</c:v>
                </c:pt>
                <c:pt idx="835">
                  <c:v>2.9143781211969673</c:v>
                </c:pt>
                <c:pt idx="836">
                  <c:v>2.9143384685312039</c:v>
                </c:pt>
                <c:pt idx="837">
                  <c:v>2.9142988161004215</c:v>
                </c:pt>
                <c:pt idx="838">
                  <c:v>2.9142591639046334</c:v>
                </c:pt>
                <c:pt idx="839">
                  <c:v>2.9142195119438306</c:v>
                </c:pt>
                <c:pt idx="840">
                  <c:v>2.914179860218022</c:v>
                </c:pt>
                <c:pt idx="841">
                  <c:v>2.9141402087272121</c:v>
                </c:pt>
                <c:pt idx="842">
                  <c:v>2.9141005574713938</c:v>
                </c:pt>
                <c:pt idx="843">
                  <c:v>2.914060906450576</c:v>
                </c:pt>
                <c:pt idx="844">
                  <c:v>2.9140212556647596</c:v>
                </c:pt>
                <c:pt idx="845">
                  <c:v>2.9139816051139436</c:v>
                </c:pt>
                <c:pt idx="846">
                  <c:v>2.9139419547981342</c:v>
                </c:pt>
                <c:pt idx="847">
                  <c:v>2.9139023047173316</c:v>
                </c:pt>
                <c:pt idx="848">
                  <c:v>2.9138626548715356</c:v>
                </c:pt>
                <c:pt idx="849">
                  <c:v>2.913823005260749</c:v>
                </c:pt>
                <c:pt idx="850">
                  <c:v>2.9137833558849726</c:v>
                </c:pt>
                <c:pt idx="851">
                  <c:v>2.9137437067442136</c:v>
                </c:pt>
                <c:pt idx="852">
                  <c:v>2.9137040578384701</c:v>
                </c:pt>
                <c:pt idx="853">
                  <c:v>2.9136644091677448</c:v>
                </c:pt>
                <c:pt idx="854">
                  <c:v>2.9136247607320422</c:v>
                </c:pt>
                <c:pt idx="855">
                  <c:v>2.9135851125313623</c:v>
                </c:pt>
                <c:pt idx="856">
                  <c:v>2.9135454645657042</c:v>
                </c:pt>
                <c:pt idx="857">
                  <c:v>2.9135058168350678</c:v>
                </c:pt>
                <c:pt idx="858">
                  <c:v>2.9134661693394621</c:v>
                </c:pt>
                <c:pt idx="859">
                  <c:v>2.9134265220788853</c:v>
                </c:pt>
                <c:pt idx="860">
                  <c:v>2.9133868750533374</c:v>
                </c:pt>
                <c:pt idx="861">
                  <c:v>2.9133472282628317</c:v>
                </c:pt>
                <c:pt idx="862">
                  <c:v>2.9133075817073522</c:v>
                </c:pt>
                <c:pt idx="863">
                  <c:v>2.9132679353869158</c:v>
                </c:pt>
                <c:pt idx="864">
                  <c:v>2.9132282893015162</c:v>
                </c:pt>
                <c:pt idx="865">
                  <c:v>2.9131886434511571</c:v>
                </c:pt>
                <c:pt idx="866">
                  <c:v>2.913148997835842</c:v>
                </c:pt>
                <c:pt idx="867">
                  <c:v>2.9131093524555727</c:v>
                </c:pt>
                <c:pt idx="868">
                  <c:v>2.9130697073103473</c:v>
                </c:pt>
                <c:pt idx="869">
                  <c:v>2.9130300624001757</c:v>
                </c:pt>
                <c:pt idx="870">
                  <c:v>2.9129904177250516</c:v>
                </c:pt>
                <c:pt idx="871">
                  <c:v>2.9129507732849795</c:v>
                </c:pt>
                <c:pt idx="872">
                  <c:v>2.9129111290799665</c:v>
                </c:pt>
                <c:pt idx="873">
                  <c:v>2.9128714851100082</c:v>
                </c:pt>
                <c:pt idx="874">
                  <c:v>2.912831841375108</c:v>
                </c:pt>
                <c:pt idx="875">
                  <c:v>2.9127921978752669</c:v>
                </c:pt>
                <c:pt idx="876">
                  <c:v>2.912752554610492</c:v>
                </c:pt>
                <c:pt idx="877">
                  <c:v>2.9127129115807779</c:v>
                </c:pt>
                <c:pt idx="878">
                  <c:v>2.9126732687861319</c:v>
                </c:pt>
                <c:pt idx="879">
                  <c:v>2.9126336262265538</c:v>
                </c:pt>
                <c:pt idx="880">
                  <c:v>2.9125939839020498</c:v>
                </c:pt>
                <c:pt idx="881">
                  <c:v>2.9125543418126139</c:v>
                </c:pt>
                <c:pt idx="882">
                  <c:v>2.9125146999582521</c:v>
                </c:pt>
                <c:pt idx="883">
                  <c:v>2.9124750583389645</c:v>
                </c:pt>
                <c:pt idx="884">
                  <c:v>2.9124354169547573</c:v>
                </c:pt>
                <c:pt idx="885">
                  <c:v>2.9123957758056287</c:v>
                </c:pt>
                <c:pt idx="886">
                  <c:v>2.9123561348915876</c:v>
                </c:pt>
                <c:pt idx="887">
                  <c:v>2.9123164942126269</c:v>
                </c:pt>
                <c:pt idx="888">
                  <c:v>2.9122768537687511</c:v>
                </c:pt>
                <c:pt idx="889">
                  <c:v>2.9122372135599619</c:v>
                </c:pt>
                <c:pt idx="890">
                  <c:v>2.9121975735862629</c:v>
                </c:pt>
                <c:pt idx="891">
                  <c:v>2.912157933847654</c:v>
                </c:pt>
                <c:pt idx="892">
                  <c:v>2.9121182943441442</c:v>
                </c:pt>
                <c:pt idx="893">
                  <c:v>2.9120786550757254</c:v>
                </c:pt>
                <c:pt idx="894">
                  <c:v>2.9120390160424039</c:v>
                </c:pt>
                <c:pt idx="895">
                  <c:v>2.9119993772441841</c:v>
                </c:pt>
                <c:pt idx="896">
                  <c:v>2.9119597386810652</c:v>
                </c:pt>
                <c:pt idx="897">
                  <c:v>2.9119201003530488</c:v>
                </c:pt>
                <c:pt idx="898">
                  <c:v>2.9118804622601342</c:v>
                </c:pt>
                <c:pt idx="899">
                  <c:v>2.9118408244023275</c:v>
                </c:pt>
                <c:pt idx="900">
                  <c:v>2.911801186779635</c:v>
                </c:pt>
                <c:pt idx="901">
                  <c:v>2.9117615493920512</c:v>
                </c:pt>
                <c:pt idx="902">
                  <c:v>2.911721912239579</c:v>
                </c:pt>
                <c:pt idx="903">
                  <c:v>2.9116822753222209</c:v>
                </c:pt>
                <c:pt idx="904">
                  <c:v>2.9116426386399805</c:v>
                </c:pt>
                <c:pt idx="905">
                  <c:v>2.9116030021928605</c:v>
                </c:pt>
                <c:pt idx="906">
                  <c:v>2.9115633659808591</c:v>
                </c:pt>
                <c:pt idx="907">
                  <c:v>2.9115237300039798</c:v>
                </c:pt>
                <c:pt idx="908">
                  <c:v>2.9114840942622253</c:v>
                </c:pt>
                <c:pt idx="909">
                  <c:v>2.9114444587556001</c:v>
                </c:pt>
                <c:pt idx="910">
                  <c:v>2.9114048234840988</c:v>
                </c:pt>
                <c:pt idx="911">
                  <c:v>2.9113651884477303</c:v>
                </c:pt>
                <c:pt idx="912">
                  <c:v>2.9113255536464919</c:v>
                </c:pt>
                <c:pt idx="913">
                  <c:v>2.9112859190803873</c:v>
                </c:pt>
                <c:pt idx="914">
                  <c:v>2.9112462847494252</c:v>
                </c:pt>
                <c:pt idx="915">
                  <c:v>2.9112066506535932</c:v>
                </c:pt>
                <c:pt idx="916">
                  <c:v>2.9111670167929056</c:v>
                </c:pt>
                <c:pt idx="917">
                  <c:v>2.9111273831673561</c:v>
                </c:pt>
                <c:pt idx="918">
                  <c:v>2.9110877497769545</c:v>
                </c:pt>
                <c:pt idx="919">
                  <c:v>2.9110481166216973</c:v>
                </c:pt>
                <c:pt idx="920">
                  <c:v>2.9110084837015826</c:v>
                </c:pt>
                <c:pt idx="921">
                  <c:v>2.9109688510166229</c:v>
                </c:pt>
                <c:pt idx="922">
                  <c:v>2.9109292185668121</c:v>
                </c:pt>
                <c:pt idx="923">
                  <c:v>2.9108895863521571</c:v>
                </c:pt>
                <c:pt idx="924">
                  <c:v>2.9108499543726571</c:v>
                </c:pt>
                <c:pt idx="925">
                  <c:v>2.910810322628314</c:v>
                </c:pt>
                <c:pt idx="926">
                  <c:v>2.9107706911191293</c:v>
                </c:pt>
                <c:pt idx="927">
                  <c:v>2.9107310598451068</c:v>
                </c:pt>
                <c:pt idx="928">
                  <c:v>2.9106914288062464</c:v>
                </c:pt>
                <c:pt idx="929">
                  <c:v>2.9106517980025499</c:v>
                </c:pt>
                <c:pt idx="930">
                  <c:v>2.9106121674340253</c:v>
                </c:pt>
                <c:pt idx="931">
                  <c:v>2.9105725371006672</c:v>
                </c:pt>
                <c:pt idx="932">
                  <c:v>2.9105329070024784</c:v>
                </c:pt>
                <c:pt idx="933">
                  <c:v>2.9104932771394649</c:v>
                </c:pt>
                <c:pt idx="934">
                  <c:v>2.9104536475116234</c:v>
                </c:pt>
                <c:pt idx="935">
                  <c:v>2.9104140181189591</c:v>
                </c:pt>
                <c:pt idx="936">
                  <c:v>2.9103743889614746</c:v>
                </c:pt>
                <c:pt idx="937">
                  <c:v>2.9103347600391674</c:v>
                </c:pt>
                <c:pt idx="938">
                  <c:v>2.9102951313520471</c:v>
                </c:pt>
                <c:pt idx="939">
                  <c:v>2.9102555029001094</c:v>
                </c:pt>
                <c:pt idx="940">
                  <c:v>2.910215874683356</c:v>
                </c:pt>
                <c:pt idx="941">
                  <c:v>2.9101762467017904</c:v>
                </c:pt>
                <c:pt idx="942">
                  <c:v>2.9101366189554163</c:v>
                </c:pt>
                <c:pt idx="943">
                  <c:v>2.9100969914442354</c:v>
                </c:pt>
                <c:pt idx="944">
                  <c:v>2.9100573641682486</c:v>
                </c:pt>
                <c:pt idx="945">
                  <c:v>2.9100177371274585</c:v>
                </c:pt>
                <c:pt idx="946">
                  <c:v>2.9099781103218625</c:v>
                </c:pt>
                <c:pt idx="947">
                  <c:v>2.9099384837514686</c:v>
                </c:pt>
                <c:pt idx="948">
                  <c:v>2.9098988574162767</c:v>
                </c:pt>
                <c:pt idx="949">
                  <c:v>2.9098592313162888</c:v>
                </c:pt>
                <c:pt idx="950">
                  <c:v>2.9098196054515029</c:v>
                </c:pt>
                <c:pt idx="951">
                  <c:v>2.9097799798219288</c:v>
                </c:pt>
                <c:pt idx="952">
                  <c:v>2.9097403544275631</c:v>
                </c:pt>
                <c:pt idx="953">
                  <c:v>2.9097007292684083</c:v>
                </c:pt>
                <c:pt idx="954">
                  <c:v>2.9096611043444698</c:v>
                </c:pt>
                <c:pt idx="955">
                  <c:v>2.9096214796557405</c:v>
                </c:pt>
                <c:pt idx="956">
                  <c:v>2.9095818552022301</c:v>
                </c:pt>
                <c:pt idx="957">
                  <c:v>2.9095422309839396</c:v>
                </c:pt>
                <c:pt idx="958">
                  <c:v>2.9095026070008698</c:v>
                </c:pt>
                <c:pt idx="959">
                  <c:v>2.9094629832530243</c:v>
                </c:pt>
                <c:pt idx="960">
                  <c:v>2.9094233597404013</c:v>
                </c:pt>
                <c:pt idx="961">
                  <c:v>2.9093837364630106</c:v>
                </c:pt>
                <c:pt idx="962">
                  <c:v>2.9093441134208424</c:v>
                </c:pt>
                <c:pt idx="963">
                  <c:v>2.9093044906139074</c:v>
                </c:pt>
                <c:pt idx="964">
                  <c:v>2.9092648680422037</c:v>
                </c:pt>
                <c:pt idx="965">
                  <c:v>2.9092252457057359</c:v>
                </c:pt>
                <c:pt idx="966">
                  <c:v>2.9091856236045022</c:v>
                </c:pt>
                <c:pt idx="967">
                  <c:v>2.9091460017385105</c:v>
                </c:pt>
                <c:pt idx="968">
                  <c:v>2.9091063801077572</c:v>
                </c:pt>
                <c:pt idx="969">
                  <c:v>2.9090667587122425</c:v>
                </c:pt>
                <c:pt idx="970">
                  <c:v>2.9090271375519778</c:v>
                </c:pt>
                <c:pt idx="971">
                  <c:v>2.908987516626957</c:v>
                </c:pt>
                <c:pt idx="972">
                  <c:v>2.9089478959371871</c:v>
                </c:pt>
                <c:pt idx="973">
                  <c:v>2.9089082754826654</c:v>
                </c:pt>
                <c:pt idx="974">
                  <c:v>2.9088686552633911</c:v>
                </c:pt>
                <c:pt idx="975">
                  <c:v>2.9088290352793722</c:v>
                </c:pt>
                <c:pt idx="976">
                  <c:v>2.9087894155306131</c:v>
                </c:pt>
                <c:pt idx="977">
                  <c:v>2.9087497960171067</c:v>
                </c:pt>
                <c:pt idx="978">
                  <c:v>2.9087101767388663</c:v>
                </c:pt>
                <c:pt idx="979">
                  <c:v>2.9086705576958813</c:v>
                </c:pt>
                <c:pt idx="980">
                  <c:v>2.9086309388881633</c:v>
                </c:pt>
                <c:pt idx="981">
                  <c:v>2.9085913203157103</c:v>
                </c:pt>
                <c:pt idx="982">
                  <c:v>2.9085517019785225</c:v>
                </c:pt>
                <c:pt idx="983">
                  <c:v>2.9085120838766043</c:v>
                </c:pt>
                <c:pt idx="984">
                  <c:v>2.9084724660099619</c:v>
                </c:pt>
                <c:pt idx="985">
                  <c:v>2.9084328483785873</c:v>
                </c:pt>
                <c:pt idx="986">
                  <c:v>2.9083932309824894</c:v>
                </c:pt>
                <c:pt idx="987">
                  <c:v>2.9083536138216699</c:v>
                </c:pt>
                <c:pt idx="988">
                  <c:v>2.9083139968961262</c:v>
                </c:pt>
                <c:pt idx="989">
                  <c:v>2.9082743802058628</c:v>
                </c:pt>
                <c:pt idx="990">
                  <c:v>2.9082347637508841</c:v>
                </c:pt>
                <c:pt idx="991">
                  <c:v>2.9081951475311918</c:v>
                </c:pt>
                <c:pt idx="992">
                  <c:v>2.9081555315467833</c:v>
                </c:pt>
                <c:pt idx="993">
                  <c:v>2.9081159157976604</c:v>
                </c:pt>
                <c:pt idx="994">
                  <c:v>2.9080763002838355</c:v>
                </c:pt>
                <c:pt idx="995">
                  <c:v>2.9080366850052979</c:v>
                </c:pt>
                <c:pt idx="996">
                  <c:v>2.9079970699620556</c:v>
                </c:pt>
                <c:pt idx="997">
                  <c:v>2.9079574551541105</c:v>
                </c:pt>
                <c:pt idx="998">
                  <c:v>2.9079178405814625</c:v>
                </c:pt>
                <c:pt idx="999">
                  <c:v>2.9078782262441134</c:v>
                </c:pt>
                <c:pt idx="1000">
                  <c:v>2.9078386121420703</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33.100100000000204</c:v>
                </c:pt>
                <c:pt idx="513">
                  <c:v>33.100200000000207</c:v>
                </c:pt>
                <c:pt idx="514">
                  <c:v>33.10030000000021</c:v>
                </c:pt>
                <c:pt idx="515">
                  <c:v>33.100400000000214</c:v>
                </c:pt>
                <c:pt idx="516">
                  <c:v>33.100500000000217</c:v>
                </c:pt>
                <c:pt idx="517">
                  <c:v>33.10060000000022</c:v>
                </c:pt>
                <c:pt idx="518">
                  <c:v>33.100700000000224</c:v>
                </c:pt>
                <c:pt idx="519">
                  <c:v>33.100800000000227</c:v>
                </c:pt>
                <c:pt idx="520">
                  <c:v>33.10090000000023</c:v>
                </c:pt>
                <c:pt idx="521">
                  <c:v>33.101000000000234</c:v>
                </c:pt>
                <c:pt idx="522">
                  <c:v>33.101100000000237</c:v>
                </c:pt>
                <c:pt idx="523">
                  <c:v>33.10120000000024</c:v>
                </c:pt>
                <c:pt idx="524">
                  <c:v>33.101300000000244</c:v>
                </c:pt>
                <c:pt idx="525">
                  <c:v>33.101400000000247</c:v>
                </c:pt>
                <c:pt idx="526">
                  <c:v>33.10150000000025</c:v>
                </c:pt>
                <c:pt idx="527">
                  <c:v>33.101600000000253</c:v>
                </c:pt>
                <c:pt idx="528">
                  <c:v>33.101700000000257</c:v>
                </c:pt>
                <c:pt idx="529">
                  <c:v>33.10180000000026</c:v>
                </c:pt>
                <c:pt idx="530">
                  <c:v>33.101900000000263</c:v>
                </c:pt>
                <c:pt idx="531">
                  <c:v>33.102000000000267</c:v>
                </c:pt>
                <c:pt idx="532">
                  <c:v>33.10210000000027</c:v>
                </c:pt>
                <c:pt idx="533">
                  <c:v>33.102200000000273</c:v>
                </c:pt>
                <c:pt idx="534">
                  <c:v>33.102300000000277</c:v>
                </c:pt>
                <c:pt idx="535">
                  <c:v>33.10240000000028</c:v>
                </c:pt>
                <c:pt idx="536">
                  <c:v>33.102500000000283</c:v>
                </c:pt>
                <c:pt idx="537">
                  <c:v>33.102600000000287</c:v>
                </c:pt>
                <c:pt idx="538">
                  <c:v>33.10270000000029</c:v>
                </c:pt>
                <c:pt idx="539">
                  <c:v>33.102800000000293</c:v>
                </c:pt>
                <c:pt idx="540">
                  <c:v>33.102900000000297</c:v>
                </c:pt>
                <c:pt idx="541">
                  <c:v>33.1030000000003</c:v>
                </c:pt>
                <c:pt idx="542">
                  <c:v>33.103100000000303</c:v>
                </c:pt>
                <c:pt idx="543">
                  <c:v>33.103200000000307</c:v>
                </c:pt>
                <c:pt idx="544">
                  <c:v>33.10330000000031</c:v>
                </c:pt>
                <c:pt idx="545">
                  <c:v>33.103400000000313</c:v>
                </c:pt>
                <c:pt idx="546">
                  <c:v>33.103500000000317</c:v>
                </c:pt>
                <c:pt idx="547">
                  <c:v>33.10360000000032</c:v>
                </c:pt>
                <c:pt idx="548">
                  <c:v>33.103700000000323</c:v>
                </c:pt>
                <c:pt idx="549">
                  <c:v>33.103800000000327</c:v>
                </c:pt>
                <c:pt idx="550">
                  <c:v>33.10390000000033</c:v>
                </c:pt>
                <c:pt idx="551">
                  <c:v>33.104000000000333</c:v>
                </c:pt>
                <c:pt idx="552">
                  <c:v>33.104100000000336</c:v>
                </c:pt>
                <c:pt idx="553">
                  <c:v>33.10420000000034</c:v>
                </c:pt>
                <c:pt idx="554">
                  <c:v>33.104300000000343</c:v>
                </c:pt>
                <c:pt idx="555">
                  <c:v>33.104400000000346</c:v>
                </c:pt>
                <c:pt idx="556">
                  <c:v>33.10450000000035</c:v>
                </c:pt>
                <c:pt idx="557">
                  <c:v>33.104600000000353</c:v>
                </c:pt>
                <c:pt idx="558">
                  <c:v>33.104700000000356</c:v>
                </c:pt>
                <c:pt idx="559">
                  <c:v>33.10480000000036</c:v>
                </c:pt>
                <c:pt idx="560">
                  <c:v>33.104900000000363</c:v>
                </c:pt>
                <c:pt idx="561">
                  <c:v>33.105000000000366</c:v>
                </c:pt>
                <c:pt idx="562">
                  <c:v>33.10510000000037</c:v>
                </c:pt>
                <c:pt idx="563">
                  <c:v>33.105200000000373</c:v>
                </c:pt>
                <c:pt idx="564">
                  <c:v>33.105300000000376</c:v>
                </c:pt>
                <c:pt idx="565">
                  <c:v>33.10540000000038</c:v>
                </c:pt>
                <c:pt idx="566">
                  <c:v>33.105500000000383</c:v>
                </c:pt>
                <c:pt idx="567">
                  <c:v>33.105600000000386</c:v>
                </c:pt>
                <c:pt idx="568">
                  <c:v>33.10570000000039</c:v>
                </c:pt>
                <c:pt idx="569">
                  <c:v>33.105800000000393</c:v>
                </c:pt>
                <c:pt idx="570">
                  <c:v>33.105900000000396</c:v>
                </c:pt>
                <c:pt idx="571">
                  <c:v>33.1060000000004</c:v>
                </c:pt>
                <c:pt idx="572">
                  <c:v>33.106100000000403</c:v>
                </c:pt>
                <c:pt idx="573">
                  <c:v>33.106200000000406</c:v>
                </c:pt>
                <c:pt idx="574">
                  <c:v>33.10630000000041</c:v>
                </c:pt>
                <c:pt idx="575">
                  <c:v>33.106400000000413</c:v>
                </c:pt>
                <c:pt idx="576">
                  <c:v>33.106500000000416</c:v>
                </c:pt>
                <c:pt idx="577">
                  <c:v>33.106600000000419</c:v>
                </c:pt>
                <c:pt idx="578">
                  <c:v>33.106700000000423</c:v>
                </c:pt>
                <c:pt idx="579">
                  <c:v>33.106800000000426</c:v>
                </c:pt>
                <c:pt idx="580">
                  <c:v>33.106900000000429</c:v>
                </c:pt>
                <c:pt idx="581">
                  <c:v>33.107000000000433</c:v>
                </c:pt>
                <c:pt idx="582">
                  <c:v>33.107100000000436</c:v>
                </c:pt>
                <c:pt idx="583">
                  <c:v>33.107200000000439</c:v>
                </c:pt>
                <c:pt idx="584">
                  <c:v>33.107300000000443</c:v>
                </c:pt>
                <c:pt idx="585">
                  <c:v>33.107400000000446</c:v>
                </c:pt>
                <c:pt idx="586">
                  <c:v>33.107500000000449</c:v>
                </c:pt>
                <c:pt idx="587">
                  <c:v>33.107600000000453</c:v>
                </c:pt>
                <c:pt idx="588">
                  <c:v>33.107700000000456</c:v>
                </c:pt>
                <c:pt idx="589">
                  <c:v>33.107800000000459</c:v>
                </c:pt>
                <c:pt idx="590">
                  <c:v>33.107900000000463</c:v>
                </c:pt>
                <c:pt idx="591">
                  <c:v>33.108000000000466</c:v>
                </c:pt>
                <c:pt idx="592">
                  <c:v>33.108100000000469</c:v>
                </c:pt>
                <c:pt idx="593">
                  <c:v>33.108200000000473</c:v>
                </c:pt>
                <c:pt idx="594">
                  <c:v>33.108300000000476</c:v>
                </c:pt>
                <c:pt idx="595">
                  <c:v>33.108400000000479</c:v>
                </c:pt>
                <c:pt idx="596">
                  <c:v>33.108500000000483</c:v>
                </c:pt>
                <c:pt idx="597">
                  <c:v>33.108600000000486</c:v>
                </c:pt>
                <c:pt idx="598">
                  <c:v>33.108700000000489</c:v>
                </c:pt>
                <c:pt idx="599">
                  <c:v>33.108800000000493</c:v>
                </c:pt>
                <c:pt idx="600">
                  <c:v>33.108900000000496</c:v>
                </c:pt>
                <c:pt idx="601">
                  <c:v>33.109000000000499</c:v>
                </c:pt>
                <c:pt idx="602">
                  <c:v>33.109100000000502</c:v>
                </c:pt>
                <c:pt idx="603">
                  <c:v>33.109200000000506</c:v>
                </c:pt>
                <c:pt idx="604">
                  <c:v>33.109300000000509</c:v>
                </c:pt>
                <c:pt idx="605">
                  <c:v>33.109400000000512</c:v>
                </c:pt>
                <c:pt idx="606">
                  <c:v>33.109500000000516</c:v>
                </c:pt>
                <c:pt idx="607">
                  <c:v>33.109600000000519</c:v>
                </c:pt>
                <c:pt idx="608">
                  <c:v>33.109700000000522</c:v>
                </c:pt>
                <c:pt idx="609">
                  <c:v>33.109800000000526</c:v>
                </c:pt>
                <c:pt idx="610">
                  <c:v>33.109900000000529</c:v>
                </c:pt>
                <c:pt idx="611">
                  <c:v>33.110000000000532</c:v>
                </c:pt>
                <c:pt idx="612">
                  <c:v>33.110100000000536</c:v>
                </c:pt>
                <c:pt idx="613">
                  <c:v>33.110200000000539</c:v>
                </c:pt>
                <c:pt idx="614">
                  <c:v>33.110300000000542</c:v>
                </c:pt>
                <c:pt idx="615">
                  <c:v>33.110400000000546</c:v>
                </c:pt>
                <c:pt idx="616">
                  <c:v>33.110500000000549</c:v>
                </c:pt>
                <c:pt idx="617">
                  <c:v>33.110600000000552</c:v>
                </c:pt>
                <c:pt idx="618">
                  <c:v>33.110700000000556</c:v>
                </c:pt>
                <c:pt idx="619">
                  <c:v>33.110800000000559</c:v>
                </c:pt>
                <c:pt idx="620">
                  <c:v>33.110900000000562</c:v>
                </c:pt>
                <c:pt idx="621">
                  <c:v>33.111000000000566</c:v>
                </c:pt>
                <c:pt idx="622">
                  <c:v>33.111100000000569</c:v>
                </c:pt>
                <c:pt idx="623">
                  <c:v>33.111200000000572</c:v>
                </c:pt>
                <c:pt idx="624">
                  <c:v>33.111300000000575</c:v>
                </c:pt>
                <c:pt idx="625">
                  <c:v>33.111400000000579</c:v>
                </c:pt>
                <c:pt idx="626">
                  <c:v>33.111500000000582</c:v>
                </c:pt>
                <c:pt idx="627">
                  <c:v>33.111600000000585</c:v>
                </c:pt>
                <c:pt idx="628">
                  <c:v>33.111700000000589</c:v>
                </c:pt>
                <c:pt idx="629">
                  <c:v>33.111800000000592</c:v>
                </c:pt>
                <c:pt idx="630">
                  <c:v>33.111900000000595</c:v>
                </c:pt>
                <c:pt idx="631">
                  <c:v>33.112000000000599</c:v>
                </c:pt>
                <c:pt idx="632">
                  <c:v>33.112100000000602</c:v>
                </c:pt>
                <c:pt idx="633">
                  <c:v>33.112200000000605</c:v>
                </c:pt>
                <c:pt idx="634">
                  <c:v>33.112300000000609</c:v>
                </c:pt>
                <c:pt idx="635">
                  <c:v>33.112400000000612</c:v>
                </c:pt>
                <c:pt idx="636">
                  <c:v>33.112500000000615</c:v>
                </c:pt>
                <c:pt idx="637">
                  <c:v>33.112600000000619</c:v>
                </c:pt>
                <c:pt idx="638">
                  <c:v>33.112700000000622</c:v>
                </c:pt>
                <c:pt idx="639">
                  <c:v>33.112800000000625</c:v>
                </c:pt>
                <c:pt idx="640">
                  <c:v>33.112900000000629</c:v>
                </c:pt>
                <c:pt idx="641">
                  <c:v>33.113000000000632</c:v>
                </c:pt>
                <c:pt idx="642">
                  <c:v>33.113100000000635</c:v>
                </c:pt>
                <c:pt idx="643">
                  <c:v>33.113200000000639</c:v>
                </c:pt>
                <c:pt idx="644">
                  <c:v>33.113300000000642</c:v>
                </c:pt>
                <c:pt idx="645">
                  <c:v>33.113400000000645</c:v>
                </c:pt>
                <c:pt idx="646">
                  <c:v>33.113500000000649</c:v>
                </c:pt>
                <c:pt idx="647">
                  <c:v>33.113600000000652</c:v>
                </c:pt>
                <c:pt idx="648">
                  <c:v>33.113700000000655</c:v>
                </c:pt>
                <c:pt idx="649">
                  <c:v>33.113800000000658</c:v>
                </c:pt>
                <c:pt idx="650">
                  <c:v>33.113900000000662</c:v>
                </c:pt>
                <c:pt idx="651">
                  <c:v>33.114000000000665</c:v>
                </c:pt>
                <c:pt idx="652">
                  <c:v>33.114100000000668</c:v>
                </c:pt>
                <c:pt idx="653">
                  <c:v>33.114200000000672</c:v>
                </c:pt>
                <c:pt idx="654">
                  <c:v>33.114300000000675</c:v>
                </c:pt>
                <c:pt idx="655">
                  <c:v>33.114400000000678</c:v>
                </c:pt>
                <c:pt idx="656">
                  <c:v>33.114500000000682</c:v>
                </c:pt>
                <c:pt idx="657">
                  <c:v>33.114600000000685</c:v>
                </c:pt>
                <c:pt idx="658">
                  <c:v>33.114700000000688</c:v>
                </c:pt>
                <c:pt idx="659">
                  <c:v>33.114800000000692</c:v>
                </c:pt>
                <c:pt idx="660">
                  <c:v>33.114900000000695</c:v>
                </c:pt>
                <c:pt idx="661">
                  <c:v>33.115000000000698</c:v>
                </c:pt>
                <c:pt idx="662">
                  <c:v>33.115100000000702</c:v>
                </c:pt>
                <c:pt idx="663">
                  <c:v>33.115200000000705</c:v>
                </c:pt>
                <c:pt idx="664">
                  <c:v>33.115300000000708</c:v>
                </c:pt>
                <c:pt idx="665">
                  <c:v>33.115400000000712</c:v>
                </c:pt>
                <c:pt idx="666">
                  <c:v>33.115500000000715</c:v>
                </c:pt>
                <c:pt idx="667">
                  <c:v>33.115600000000718</c:v>
                </c:pt>
                <c:pt idx="668">
                  <c:v>33.115700000000722</c:v>
                </c:pt>
                <c:pt idx="669">
                  <c:v>33.115800000000725</c:v>
                </c:pt>
                <c:pt idx="670">
                  <c:v>33.115900000000728</c:v>
                </c:pt>
                <c:pt idx="671">
                  <c:v>33.116000000000732</c:v>
                </c:pt>
                <c:pt idx="672">
                  <c:v>33.116100000000735</c:v>
                </c:pt>
                <c:pt idx="673">
                  <c:v>33.116200000000738</c:v>
                </c:pt>
                <c:pt idx="674">
                  <c:v>33.116300000000741</c:v>
                </c:pt>
                <c:pt idx="675">
                  <c:v>33.116400000000745</c:v>
                </c:pt>
                <c:pt idx="676">
                  <c:v>33.116500000000748</c:v>
                </c:pt>
                <c:pt idx="677">
                  <c:v>33.116600000000751</c:v>
                </c:pt>
                <c:pt idx="678">
                  <c:v>33.116700000000755</c:v>
                </c:pt>
                <c:pt idx="679">
                  <c:v>33.116800000000758</c:v>
                </c:pt>
                <c:pt idx="680">
                  <c:v>33.116900000000761</c:v>
                </c:pt>
                <c:pt idx="681">
                  <c:v>33.117000000000765</c:v>
                </c:pt>
                <c:pt idx="682">
                  <c:v>33.117100000000768</c:v>
                </c:pt>
                <c:pt idx="683">
                  <c:v>33.117200000000771</c:v>
                </c:pt>
                <c:pt idx="684">
                  <c:v>33.117300000000775</c:v>
                </c:pt>
                <c:pt idx="685">
                  <c:v>33.117400000000778</c:v>
                </c:pt>
                <c:pt idx="686">
                  <c:v>33.117500000000781</c:v>
                </c:pt>
                <c:pt idx="687">
                  <c:v>33.117600000000785</c:v>
                </c:pt>
                <c:pt idx="688">
                  <c:v>33.117700000000788</c:v>
                </c:pt>
                <c:pt idx="689">
                  <c:v>33.117800000000791</c:v>
                </c:pt>
                <c:pt idx="690">
                  <c:v>33.117900000000795</c:v>
                </c:pt>
                <c:pt idx="691">
                  <c:v>33.118000000000798</c:v>
                </c:pt>
                <c:pt idx="692">
                  <c:v>33.118100000000801</c:v>
                </c:pt>
                <c:pt idx="693">
                  <c:v>33.118200000000805</c:v>
                </c:pt>
                <c:pt idx="694">
                  <c:v>33.118300000000808</c:v>
                </c:pt>
                <c:pt idx="695">
                  <c:v>33.118400000000811</c:v>
                </c:pt>
                <c:pt idx="696">
                  <c:v>33.118500000000815</c:v>
                </c:pt>
                <c:pt idx="697">
                  <c:v>33.118600000000818</c:v>
                </c:pt>
                <c:pt idx="698">
                  <c:v>33.118700000000821</c:v>
                </c:pt>
                <c:pt idx="699">
                  <c:v>33.118800000000824</c:v>
                </c:pt>
                <c:pt idx="700">
                  <c:v>33.118900000000828</c:v>
                </c:pt>
                <c:pt idx="701">
                  <c:v>33.119000000000831</c:v>
                </c:pt>
                <c:pt idx="702">
                  <c:v>33.119100000000834</c:v>
                </c:pt>
                <c:pt idx="703">
                  <c:v>33.119200000000838</c:v>
                </c:pt>
                <c:pt idx="704">
                  <c:v>33.119300000000841</c:v>
                </c:pt>
                <c:pt idx="705">
                  <c:v>33.119400000000844</c:v>
                </c:pt>
                <c:pt idx="706">
                  <c:v>33.119500000000848</c:v>
                </c:pt>
                <c:pt idx="707">
                  <c:v>33.119600000000851</c:v>
                </c:pt>
                <c:pt idx="708">
                  <c:v>33.119700000000854</c:v>
                </c:pt>
                <c:pt idx="709">
                  <c:v>33.119800000000858</c:v>
                </c:pt>
                <c:pt idx="710">
                  <c:v>33.119900000000861</c:v>
                </c:pt>
                <c:pt idx="711">
                  <c:v>33.120000000000864</c:v>
                </c:pt>
                <c:pt idx="712">
                  <c:v>33.120100000000868</c:v>
                </c:pt>
                <c:pt idx="713">
                  <c:v>33.120200000000871</c:v>
                </c:pt>
                <c:pt idx="714">
                  <c:v>33.120300000000874</c:v>
                </c:pt>
                <c:pt idx="715">
                  <c:v>33.120400000000878</c:v>
                </c:pt>
                <c:pt idx="716">
                  <c:v>33.120500000000881</c:v>
                </c:pt>
                <c:pt idx="717">
                  <c:v>33.120600000000884</c:v>
                </c:pt>
                <c:pt idx="718">
                  <c:v>33.120700000000888</c:v>
                </c:pt>
                <c:pt idx="719">
                  <c:v>33.120800000000891</c:v>
                </c:pt>
                <c:pt idx="720">
                  <c:v>33.120900000000894</c:v>
                </c:pt>
                <c:pt idx="721">
                  <c:v>33.121000000000898</c:v>
                </c:pt>
                <c:pt idx="722">
                  <c:v>33.121100000000901</c:v>
                </c:pt>
                <c:pt idx="723">
                  <c:v>33.121200000000904</c:v>
                </c:pt>
                <c:pt idx="724">
                  <c:v>33.121300000000907</c:v>
                </c:pt>
                <c:pt idx="725">
                  <c:v>33.121400000000911</c:v>
                </c:pt>
                <c:pt idx="726">
                  <c:v>33.121500000000914</c:v>
                </c:pt>
                <c:pt idx="727">
                  <c:v>33.121600000000917</c:v>
                </c:pt>
                <c:pt idx="728">
                  <c:v>33.121700000000921</c:v>
                </c:pt>
                <c:pt idx="729">
                  <c:v>33.121800000000924</c:v>
                </c:pt>
                <c:pt idx="730">
                  <c:v>33.121900000000927</c:v>
                </c:pt>
                <c:pt idx="731">
                  <c:v>33.122000000000931</c:v>
                </c:pt>
                <c:pt idx="732">
                  <c:v>33.122100000000934</c:v>
                </c:pt>
                <c:pt idx="733">
                  <c:v>33.122200000000937</c:v>
                </c:pt>
                <c:pt idx="734">
                  <c:v>33.122300000000941</c:v>
                </c:pt>
                <c:pt idx="735">
                  <c:v>33.122400000000944</c:v>
                </c:pt>
                <c:pt idx="736">
                  <c:v>33.122500000000947</c:v>
                </c:pt>
                <c:pt idx="737">
                  <c:v>33.122600000000951</c:v>
                </c:pt>
                <c:pt idx="738">
                  <c:v>33.122700000000954</c:v>
                </c:pt>
                <c:pt idx="739">
                  <c:v>33.122800000000957</c:v>
                </c:pt>
                <c:pt idx="740">
                  <c:v>33.122900000000961</c:v>
                </c:pt>
                <c:pt idx="741">
                  <c:v>33.123000000000964</c:v>
                </c:pt>
                <c:pt idx="742">
                  <c:v>33.123100000000967</c:v>
                </c:pt>
                <c:pt idx="743">
                  <c:v>33.123200000000971</c:v>
                </c:pt>
                <c:pt idx="744">
                  <c:v>33.123300000000974</c:v>
                </c:pt>
                <c:pt idx="745">
                  <c:v>33.123400000000977</c:v>
                </c:pt>
                <c:pt idx="746">
                  <c:v>33.12350000000098</c:v>
                </c:pt>
                <c:pt idx="747">
                  <c:v>33.123600000000984</c:v>
                </c:pt>
                <c:pt idx="748">
                  <c:v>33.123700000000987</c:v>
                </c:pt>
                <c:pt idx="749">
                  <c:v>33.12380000000099</c:v>
                </c:pt>
                <c:pt idx="750">
                  <c:v>33.123900000000994</c:v>
                </c:pt>
                <c:pt idx="751">
                  <c:v>33.124000000000997</c:v>
                </c:pt>
                <c:pt idx="752">
                  <c:v>33.124100000001</c:v>
                </c:pt>
                <c:pt idx="753">
                  <c:v>33.124200000001004</c:v>
                </c:pt>
                <c:pt idx="754">
                  <c:v>33.124300000001007</c:v>
                </c:pt>
                <c:pt idx="755">
                  <c:v>33.12440000000101</c:v>
                </c:pt>
                <c:pt idx="756">
                  <c:v>33.124500000001014</c:v>
                </c:pt>
                <c:pt idx="757">
                  <c:v>33.124600000001017</c:v>
                </c:pt>
                <c:pt idx="758">
                  <c:v>33.12470000000102</c:v>
                </c:pt>
                <c:pt idx="759">
                  <c:v>33.124800000001024</c:v>
                </c:pt>
                <c:pt idx="760">
                  <c:v>33.124900000001027</c:v>
                </c:pt>
                <c:pt idx="761">
                  <c:v>33.12500000000103</c:v>
                </c:pt>
                <c:pt idx="762">
                  <c:v>33.125100000001034</c:v>
                </c:pt>
                <c:pt idx="763">
                  <c:v>33.125200000001037</c:v>
                </c:pt>
                <c:pt idx="764">
                  <c:v>33.12530000000104</c:v>
                </c:pt>
                <c:pt idx="765">
                  <c:v>33.125400000001044</c:v>
                </c:pt>
                <c:pt idx="766">
                  <c:v>33.125500000001047</c:v>
                </c:pt>
                <c:pt idx="767">
                  <c:v>33.12560000000105</c:v>
                </c:pt>
                <c:pt idx="768">
                  <c:v>33.125700000001054</c:v>
                </c:pt>
                <c:pt idx="769">
                  <c:v>33.125800000001057</c:v>
                </c:pt>
                <c:pt idx="770">
                  <c:v>33.12590000000106</c:v>
                </c:pt>
                <c:pt idx="771">
                  <c:v>33.126000000001063</c:v>
                </c:pt>
                <c:pt idx="772">
                  <c:v>33.126100000001067</c:v>
                </c:pt>
                <c:pt idx="773">
                  <c:v>33.12620000000107</c:v>
                </c:pt>
                <c:pt idx="774">
                  <c:v>33.126300000001073</c:v>
                </c:pt>
                <c:pt idx="775">
                  <c:v>33.126400000001077</c:v>
                </c:pt>
                <c:pt idx="776">
                  <c:v>33.12650000000108</c:v>
                </c:pt>
                <c:pt idx="777">
                  <c:v>33.126600000001083</c:v>
                </c:pt>
                <c:pt idx="778">
                  <c:v>33.126700000001087</c:v>
                </c:pt>
                <c:pt idx="779">
                  <c:v>33.12680000000109</c:v>
                </c:pt>
                <c:pt idx="780">
                  <c:v>33.126900000001093</c:v>
                </c:pt>
                <c:pt idx="781">
                  <c:v>33.127000000001097</c:v>
                </c:pt>
                <c:pt idx="782">
                  <c:v>33.1271000000011</c:v>
                </c:pt>
                <c:pt idx="783">
                  <c:v>33.127200000001103</c:v>
                </c:pt>
                <c:pt idx="784">
                  <c:v>33.127300000001107</c:v>
                </c:pt>
                <c:pt idx="785">
                  <c:v>33.12740000000111</c:v>
                </c:pt>
                <c:pt idx="786">
                  <c:v>33.127500000001113</c:v>
                </c:pt>
                <c:pt idx="787">
                  <c:v>33.127600000001117</c:v>
                </c:pt>
                <c:pt idx="788">
                  <c:v>33.12770000000112</c:v>
                </c:pt>
                <c:pt idx="789">
                  <c:v>33.127800000001123</c:v>
                </c:pt>
                <c:pt idx="790">
                  <c:v>33.127900000001127</c:v>
                </c:pt>
                <c:pt idx="791">
                  <c:v>33.12800000000113</c:v>
                </c:pt>
                <c:pt idx="792">
                  <c:v>33.128100000001133</c:v>
                </c:pt>
                <c:pt idx="793">
                  <c:v>33.128200000001137</c:v>
                </c:pt>
                <c:pt idx="794">
                  <c:v>33.12830000000114</c:v>
                </c:pt>
                <c:pt idx="795">
                  <c:v>33.128400000001143</c:v>
                </c:pt>
                <c:pt idx="796">
                  <c:v>33.128500000001146</c:v>
                </c:pt>
                <c:pt idx="797">
                  <c:v>33.12860000000115</c:v>
                </c:pt>
                <c:pt idx="798">
                  <c:v>33.128700000001153</c:v>
                </c:pt>
                <c:pt idx="799">
                  <c:v>33.128800000001156</c:v>
                </c:pt>
                <c:pt idx="800">
                  <c:v>33.12890000000116</c:v>
                </c:pt>
                <c:pt idx="801">
                  <c:v>33.129000000001163</c:v>
                </c:pt>
                <c:pt idx="802">
                  <c:v>33.129100000001166</c:v>
                </c:pt>
                <c:pt idx="803">
                  <c:v>33.12920000000117</c:v>
                </c:pt>
                <c:pt idx="804">
                  <c:v>33.129300000001173</c:v>
                </c:pt>
                <c:pt idx="805">
                  <c:v>33.129400000001176</c:v>
                </c:pt>
                <c:pt idx="806">
                  <c:v>33.12950000000118</c:v>
                </c:pt>
                <c:pt idx="807">
                  <c:v>33.129600000001183</c:v>
                </c:pt>
                <c:pt idx="808">
                  <c:v>33.129700000001186</c:v>
                </c:pt>
                <c:pt idx="809">
                  <c:v>33.12980000000119</c:v>
                </c:pt>
                <c:pt idx="810">
                  <c:v>33.129900000001193</c:v>
                </c:pt>
                <c:pt idx="811">
                  <c:v>33.130000000001196</c:v>
                </c:pt>
                <c:pt idx="812">
                  <c:v>33.1301000000012</c:v>
                </c:pt>
                <c:pt idx="813">
                  <c:v>33.130200000001203</c:v>
                </c:pt>
                <c:pt idx="814">
                  <c:v>33.130300000001206</c:v>
                </c:pt>
                <c:pt idx="815">
                  <c:v>33.13040000000121</c:v>
                </c:pt>
                <c:pt idx="816">
                  <c:v>33.130500000001213</c:v>
                </c:pt>
                <c:pt idx="817">
                  <c:v>33.130600000001216</c:v>
                </c:pt>
                <c:pt idx="818">
                  <c:v>33.13070000000122</c:v>
                </c:pt>
                <c:pt idx="819">
                  <c:v>33.130800000001223</c:v>
                </c:pt>
                <c:pt idx="820">
                  <c:v>33.130900000001226</c:v>
                </c:pt>
                <c:pt idx="821">
                  <c:v>33.131000000001229</c:v>
                </c:pt>
                <c:pt idx="822">
                  <c:v>33.131100000001233</c:v>
                </c:pt>
                <c:pt idx="823">
                  <c:v>33.131200000001236</c:v>
                </c:pt>
                <c:pt idx="824">
                  <c:v>33.131300000001239</c:v>
                </c:pt>
                <c:pt idx="825">
                  <c:v>33.131400000001243</c:v>
                </c:pt>
                <c:pt idx="826">
                  <c:v>33.131500000001246</c:v>
                </c:pt>
                <c:pt idx="827">
                  <c:v>33.131600000001249</c:v>
                </c:pt>
                <c:pt idx="828">
                  <c:v>33.131700000001253</c:v>
                </c:pt>
                <c:pt idx="829">
                  <c:v>33.131800000001256</c:v>
                </c:pt>
                <c:pt idx="830">
                  <c:v>33.131900000001259</c:v>
                </c:pt>
                <c:pt idx="831">
                  <c:v>33.132000000001263</c:v>
                </c:pt>
                <c:pt idx="832">
                  <c:v>33.132100000001266</c:v>
                </c:pt>
                <c:pt idx="833">
                  <c:v>33.132200000001269</c:v>
                </c:pt>
                <c:pt idx="834">
                  <c:v>33.132300000001273</c:v>
                </c:pt>
                <c:pt idx="835">
                  <c:v>33.132400000001276</c:v>
                </c:pt>
                <c:pt idx="836">
                  <c:v>33.132500000001279</c:v>
                </c:pt>
                <c:pt idx="837">
                  <c:v>33.132600000001283</c:v>
                </c:pt>
                <c:pt idx="838">
                  <c:v>33.132700000001286</c:v>
                </c:pt>
                <c:pt idx="839">
                  <c:v>33.132800000001289</c:v>
                </c:pt>
                <c:pt idx="840">
                  <c:v>33.132900000001293</c:v>
                </c:pt>
                <c:pt idx="841">
                  <c:v>33.133000000001296</c:v>
                </c:pt>
                <c:pt idx="842">
                  <c:v>33.133100000001299</c:v>
                </c:pt>
                <c:pt idx="843">
                  <c:v>33.133200000001302</c:v>
                </c:pt>
                <c:pt idx="844">
                  <c:v>33.133300000001306</c:v>
                </c:pt>
                <c:pt idx="845">
                  <c:v>33.133400000001309</c:v>
                </c:pt>
                <c:pt idx="846">
                  <c:v>33.133500000001312</c:v>
                </c:pt>
                <c:pt idx="847">
                  <c:v>33.133600000001316</c:v>
                </c:pt>
                <c:pt idx="848">
                  <c:v>33.133700000001319</c:v>
                </c:pt>
                <c:pt idx="849">
                  <c:v>33.133800000001322</c:v>
                </c:pt>
                <c:pt idx="850">
                  <c:v>33.133900000001326</c:v>
                </c:pt>
                <c:pt idx="851">
                  <c:v>33.134000000001329</c:v>
                </c:pt>
                <c:pt idx="852">
                  <c:v>33.134100000001332</c:v>
                </c:pt>
                <c:pt idx="853">
                  <c:v>33.134200000001336</c:v>
                </c:pt>
                <c:pt idx="854">
                  <c:v>33.134300000001339</c:v>
                </c:pt>
                <c:pt idx="855">
                  <c:v>33.134400000001342</c:v>
                </c:pt>
                <c:pt idx="856">
                  <c:v>33.134500000001346</c:v>
                </c:pt>
                <c:pt idx="857">
                  <c:v>33.134600000001349</c:v>
                </c:pt>
                <c:pt idx="858">
                  <c:v>33.134700000001352</c:v>
                </c:pt>
                <c:pt idx="859">
                  <c:v>33.134800000001356</c:v>
                </c:pt>
                <c:pt idx="860">
                  <c:v>33.134900000001359</c:v>
                </c:pt>
                <c:pt idx="861">
                  <c:v>33.135000000001362</c:v>
                </c:pt>
                <c:pt idx="862">
                  <c:v>33.135100000001366</c:v>
                </c:pt>
                <c:pt idx="863">
                  <c:v>33.135200000001369</c:v>
                </c:pt>
                <c:pt idx="864">
                  <c:v>33.135300000001372</c:v>
                </c:pt>
                <c:pt idx="865">
                  <c:v>33.135400000001376</c:v>
                </c:pt>
                <c:pt idx="866">
                  <c:v>33.135500000001379</c:v>
                </c:pt>
                <c:pt idx="867">
                  <c:v>33.135600000001382</c:v>
                </c:pt>
                <c:pt idx="868">
                  <c:v>33.135700000001385</c:v>
                </c:pt>
                <c:pt idx="869">
                  <c:v>33.135800000001389</c:v>
                </c:pt>
                <c:pt idx="870">
                  <c:v>33.135900000001392</c:v>
                </c:pt>
                <c:pt idx="871">
                  <c:v>33.136000000001395</c:v>
                </c:pt>
                <c:pt idx="872">
                  <c:v>33.136100000001399</c:v>
                </c:pt>
                <c:pt idx="873">
                  <c:v>33.136200000001402</c:v>
                </c:pt>
                <c:pt idx="874">
                  <c:v>33.136300000001405</c:v>
                </c:pt>
                <c:pt idx="875">
                  <c:v>33.136400000001409</c:v>
                </c:pt>
                <c:pt idx="876">
                  <c:v>33.136500000001412</c:v>
                </c:pt>
                <c:pt idx="877">
                  <c:v>33.136600000001415</c:v>
                </c:pt>
                <c:pt idx="878">
                  <c:v>33.136700000001419</c:v>
                </c:pt>
                <c:pt idx="879">
                  <c:v>33.136800000001422</c:v>
                </c:pt>
                <c:pt idx="880">
                  <c:v>33.136900000001425</c:v>
                </c:pt>
                <c:pt idx="881">
                  <c:v>33.137000000001429</c:v>
                </c:pt>
                <c:pt idx="882">
                  <c:v>33.137100000001432</c:v>
                </c:pt>
                <c:pt idx="883">
                  <c:v>33.137200000001435</c:v>
                </c:pt>
                <c:pt idx="884">
                  <c:v>33.137300000001439</c:v>
                </c:pt>
                <c:pt idx="885">
                  <c:v>33.137400000001442</c:v>
                </c:pt>
                <c:pt idx="886">
                  <c:v>33.137500000001445</c:v>
                </c:pt>
                <c:pt idx="887">
                  <c:v>33.137600000001449</c:v>
                </c:pt>
                <c:pt idx="888">
                  <c:v>33.137700000001452</c:v>
                </c:pt>
                <c:pt idx="889">
                  <c:v>33.137800000001455</c:v>
                </c:pt>
                <c:pt idx="890">
                  <c:v>33.137900000001459</c:v>
                </c:pt>
                <c:pt idx="891">
                  <c:v>33.138000000001462</c:v>
                </c:pt>
                <c:pt idx="892">
                  <c:v>33.138100000001465</c:v>
                </c:pt>
                <c:pt idx="893">
                  <c:v>33.138200000001468</c:v>
                </c:pt>
                <c:pt idx="894">
                  <c:v>33.138300000001472</c:v>
                </c:pt>
                <c:pt idx="895">
                  <c:v>33.138400000001475</c:v>
                </c:pt>
                <c:pt idx="896">
                  <c:v>33.138500000001478</c:v>
                </c:pt>
                <c:pt idx="897">
                  <c:v>33.138600000001482</c:v>
                </c:pt>
                <c:pt idx="898">
                  <c:v>33.138700000001485</c:v>
                </c:pt>
                <c:pt idx="899">
                  <c:v>33.138800000001488</c:v>
                </c:pt>
                <c:pt idx="900">
                  <c:v>33.138900000001492</c:v>
                </c:pt>
                <c:pt idx="901">
                  <c:v>33.139000000001495</c:v>
                </c:pt>
                <c:pt idx="902">
                  <c:v>33.139100000001498</c:v>
                </c:pt>
                <c:pt idx="903">
                  <c:v>33.139200000001502</c:v>
                </c:pt>
                <c:pt idx="904">
                  <c:v>33.139300000001505</c:v>
                </c:pt>
                <c:pt idx="905">
                  <c:v>33.139400000001508</c:v>
                </c:pt>
                <c:pt idx="906">
                  <c:v>33.139500000001512</c:v>
                </c:pt>
                <c:pt idx="907">
                  <c:v>33.139600000001515</c:v>
                </c:pt>
                <c:pt idx="908">
                  <c:v>33.139700000001518</c:v>
                </c:pt>
                <c:pt idx="909">
                  <c:v>33.139800000001522</c:v>
                </c:pt>
                <c:pt idx="910">
                  <c:v>33.139900000001525</c:v>
                </c:pt>
                <c:pt idx="911">
                  <c:v>33.140000000001528</c:v>
                </c:pt>
                <c:pt idx="912">
                  <c:v>33.140100000001532</c:v>
                </c:pt>
                <c:pt idx="913">
                  <c:v>33.140200000001535</c:v>
                </c:pt>
                <c:pt idx="914">
                  <c:v>33.140300000001538</c:v>
                </c:pt>
                <c:pt idx="915">
                  <c:v>33.140400000001542</c:v>
                </c:pt>
                <c:pt idx="916">
                  <c:v>33.140500000001545</c:v>
                </c:pt>
                <c:pt idx="917">
                  <c:v>33.140600000001548</c:v>
                </c:pt>
                <c:pt idx="918">
                  <c:v>33.140700000001551</c:v>
                </c:pt>
                <c:pt idx="919">
                  <c:v>33.140800000001555</c:v>
                </c:pt>
                <c:pt idx="920">
                  <c:v>33.140900000001558</c:v>
                </c:pt>
                <c:pt idx="921">
                  <c:v>33.141000000001561</c:v>
                </c:pt>
                <c:pt idx="922">
                  <c:v>33.141100000001565</c:v>
                </c:pt>
                <c:pt idx="923">
                  <c:v>33.141200000001568</c:v>
                </c:pt>
                <c:pt idx="924">
                  <c:v>33.141300000001571</c:v>
                </c:pt>
                <c:pt idx="925">
                  <c:v>33.141400000001575</c:v>
                </c:pt>
                <c:pt idx="926">
                  <c:v>33.141500000001578</c:v>
                </c:pt>
                <c:pt idx="927">
                  <c:v>33.141600000001581</c:v>
                </c:pt>
                <c:pt idx="928">
                  <c:v>33.141700000001585</c:v>
                </c:pt>
                <c:pt idx="929">
                  <c:v>33.141800000001588</c:v>
                </c:pt>
                <c:pt idx="930">
                  <c:v>33.141900000001591</c:v>
                </c:pt>
                <c:pt idx="931">
                  <c:v>33.142000000001595</c:v>
                </c:pt>
                <c:pt idx="932">
                  <c:v>33.142100000001598</c:v>
                </c:pt>
                <c:pt idx="933">
                  <c:v>33.142200000001601</c:v>
                </c:pt>
                <c:pt idx="934">
                  <c:v>33.142300000001605</c:v>
                </c:pt>
                <c:pt idx="935">
                  <c:v>33.142400000001608</c:v>
                </c:pt>
                <c:pt idx="936">
                  <c:v>33.142500000001611</c:v>
                </c:pt>
                <c:pt idx="937">
                  <c:v>33.142600000001615</c:v>
                </c:pt>
                <c:pt idx="938">
                  <c:v>33.142700000001618</c:v>
                </c:pt>
                <c:pt idx="939">
                  <c:v>33.142800000001621</c:v>
                </c:pt>
                <c:pt idx="940">
                  <c:v>33.142900000001625</c:v>
                </c:pt>
                <c:pt idx="941">
                  <c:v>33.143000000001628</c:v>
                </c:pt>
                <c:pt idx="942">
                  <c:v>33.143100000001631</c:v>
                </c:pt>
                <c:pt idx="943">
                  <c:v>33.143200000001634</c:v>
                </c:pt>
                <c:pt idx="944">
                  <c:v>33.143300000001638</c:v>
                </c:pt>
                <c:pt idx="945">
                  <c:v>33.143400000001641</c:v>
                </c:pt>
                <c:pt idx="946">
                  <c:v>33.143500000001644</c:v>
                </c:pt>
                <c:pt idx="947">
                  <c:v>33.143600000001648</c:v>
                </c:pt>
                <c:pt idx="948">
                  <c:v>33.143700000001651</c:v>
                </c:pt>
                <c:pt idx="949">
                  <c:v>33.143800000001654</c:v>
                </c:pt>
                <c:pt idx="950">
                  <c:v>33.143900000001658</c:v>
                </c:pt>
                <c:pt idx="951">
                  <c:v>33.144000000001661</c:v>
                </c:pt>
                <c:pt idx="952">
                  <c:v>33.144100000001664</c:v>
                </c:pt>
                <c:pt idx="953">
                  <c:v>33.144200000001668</c:v>
                </c:pt>
                <c:pt idx="954">
                  <c:v>33.144300000001671</c:v>
                </c:pt>
                <c:pt idx="955">
                  <c:v>33.144400000001674</c:v>
                </c:pt>
                <c:pt idx="956">
                  <c:v>33.144500000001678</c:v>
                </c:pt>
                <c:pt idx="957">
                  <c:v>33.144600000001681</c:v>
                </c:pt>
                <c:pt idx="958">
                  <c:v>33.144700000001684</c:v>
                </c:pt>
                <c:pt idx="959">
                  <c:v>33.144800000001688</c:v>
                </c:pt>
                <c:pt idx="960">
                  <c:v>33.144900000001691</c:v>
                </c:pt>
                <c:pt idx="961">
                  <c:v>33.145000000001694</c:v>
                </c:pt>
                <c:pt idx="962">
                  <c:v>33.145100000001698</c:v>
                </c:pt>
                <c:pt idx="963">
                  <c:v>33.145200000001701</c:v>
                </c:pt>
                <c:pt idx="964">
                  <c:v>33.145300000001704</c:v>
                </c:pt>
                <c:pt idx="965">
                  <c:v>33.145400000001707</c:v>
                </c:pt>
                <c:pt idx="966">
                  <c:v>33.145500000001711</c:v>
                </c:pt>
                <c:pt idx="967">
                  <c:v>33.145600000001714</c:v>
                </c:pt>
                <c:pt idx="968">
                  <c:v>33.145700000001717</c:v>
                </c:pt>
                <c:pt idx="969">
                  <c:v>33.145800000001721</c:v>
                </c:pt>
                <c:pt idx="970">
                  <c:v>33.145900000001724</c:v>
                </c:pt>
                <c:pt idx="971">
                  <c:v>33.146000000001727</c:v>
                </c:pt>
                <c:pt idx="972">
                  <c:v>33.146100000001731</c:v>
                </c:pt>
                <c:pt idx="973">
                  <c:v>33.146200000001734</c:v>
                </c:pt>
                <c:pt idx="974">
                  <c:v>33.146300000001737</c:v>
                </c:pt>
                <c:pt idx="975">
                  <c:v>33.146400000001741</c:v>
                </c:pt>
                <c:pt idx="976">
                  <c:v>33.146500000001744</c:v>
                </c:pt>
                <c:pt idx="977">
                  <c:v>33.146600000001747</c:v>
                </c:pt>
                <c:pt idx="978">
                  <c:v>33.146700000001751</c:v>
                </c:pt>
                <c:pt idx="979">
                  <c:v>33.146800000001754</c:v>
                </c:pt>
                <c:pt idx="980">
                  <c:v>33.146900000001757</c:v>
                </c:pt>
                <c:pt idx="981">
                  <c:v>33.147000000001761</c:v>
                </c:pt>
                <c:pt idx="982">
                  <c:v>33.147100000001764</c:v>
                </c:pt>
                <c:pt idx="983">
                  <c:v>33.147200000001767</c:v>
                </c:pt>
                <c:pt idx="984">
                  <c:v>33.147300000001771</c:v>
                </c:pt>
                <c:pt idx="985">
                  <c:v>33.147400000001774</c:v>
                </c:pt>
                <c:pt idx="986">
                  <c:v>33.147500000001777</c:v>
                </c:pt>
                <c:pt idx="987">
                  <c:v>33.147600000001781</c:v>
                </c:pt>
                <c:pt idx="988">
                  <c:v>33.147700000001784</c:v>
                </c:pt>
                <c:pt idx="989">
                  <c:v>33.147800000001787</c:v>
                </c:pt>
                <c:pt idx="990">
                  <c:v>33.14790000000179</c:v>
                </c:pt>
                <c:pt idx="991">
                  <c:v>33.148000000001794</c:v>
                </c:pt>
                <c:pt idx="992">
                  <c:v>33.148100000001797</c:v>
                </c:pt>
                <c:pt idx="993">
                  <c:v>33.1482000000018</c:v>
                </c:pt>
                <c:pt idx="994">
                  <c:v>33.148300000001804</c:v>
                </c:pt>
                <c:pt idx="995">
                  <c:v>33.148400000001807</c:v>
                </c:pt>
                <c:pt idx="996">
                  <c:v>33.14850000000181</c:v>
                </c:pt>
                <c:pt idx="997">
                  <c:v>33.148600000001814</c:v>
                </c:pt>
                <c:pt idx="998">
                  <c:v>33.148700000001817</c:v>
                </c:pt>
                <c:pt idx="999">
                  <c:v>33.14880000000182</c:v>
                </c:pt>
                <c:pt idx="1000">
                  <c:v>33.148900000001824</c:v>
                </c:pt>
              </c:numCache>
            </c:numRef>
          </c:xVal>
          <c:yVal>
            <c:numRef>
              <c:f>Calculs!$AH$4:$AH$1004</c:f>
              <c:numCache>
                <c:formatCode>0.00</c:formatCode>
                <c:ptCount val="1001"/>
                <c:pt idx="0">
                  <c:v>0</c:v>
                </c:pt>
                <c:pt idx="1">
                  <c:v>25.824195898513963</c:v>
                </c:pt>
                <c:pt idx="2">
                  <c:v>97.715074489361314</c:v>
                </c:pt>
                <c:pt idx="3">
                  <c:v>141.52011398444003</c:v>
                </c:pt>
                <c:pt idx="4">
                  <c:v>136.9375993110059</c:v>
                </c:pt>
                <c:pt idx="5">
                  <c:v>132.34461480535984</c:v>
                </c:pt>
                <c:pt idx="6">
                  <c:v>130.54178649282628</c:v>
                </c:pt>
                <c:pt idx="7">
                  <c:v>131.53634829731823</c:v>
                </c:pt>
                <c:pt idx="8">
                  <c:v>132.53156645415001</c:v>
                </c:pt>
                <c:pt idx="9">
                  <c:v>133.52742658474025</c:v>
                </c:pt>
                <c:pt idx="10">
                  <c:v>134.52391403776468</c:v>
                </c:pt>
                <c:pt idx="11">
                  <c:v>135.2304239386302</c:v>
                </c:pt>
                <c:pt idx="12">
                  <c:v>135.64618905309092</c:v>
                </c:pt>
                <c:pt idx="13">
                  <c:v>136.06142426699279</c:v>
                </c:pt>
                <c:pt idx="14">
                  <c:v>136.47611812266814</c:v>
                </c:pt>
                <c:pt idx="15">
                  <c:v>136.89025911848503</c:v>
                </c:pt>
                <c:pt idx="16">
                  <c:v>137.30383570948857</c:v>
                </c:pt>
                <c:pt idx="17">
                  <c:v>137.71683630805296</c:v>
                </c:pt>
                <c:pt idx="18">
                  <c:v>138.12924928454458</c:v>
                </c:pt>
                <c:pt idx="19">
                  <c:v>138.54106296799515</c:v>
                </c:pt>
                <c:pt idx="20">
                  <c:v>138.9522656467862</c:v>
                </c:pt>
                <c:pt idx="21">
                  <c:v>139.24624435463593</c:v>
                </c:pt>
                <c:pt idx="22">
                  <c:v>139.42268997545267</c:v>
                </c:pt>
                <c:pt idx="23">
                  <c:v>139.5980581205649</c:v>
                </c:pt>
                <c:pt idx="24">
                  <c:v>139.77234173826426</c:v>
                </c:pt>
                <c:pt idx="25">
                  <c:v>139.94553380495483</c:v>
                </c:pt>
                <c:pt idx="26">
                  <c:v>140.11762732581334</c:v>
                </c:pt>
                <c:pt idx="27">
                  <c:v>140.28861533545034</c:v>
                </c:pt>
                <c:pt idx="28">
                  <c:v>140.4584908985714</c:v>
                </c:pt>
                <c:pt idx="29">
                  <c:v>140.62724699633659</c:v>
                </c:pt>
                <c:pt idx="30">
                  <c:v>140.79487661835887</c:v>
                </c:pt>
                <c:pt idx="31">
                  <c:v>140.96137290374293</c:v>
                </c:pt>
                <c:pt idx="32">
                  <c:v>141.12672902478496</c:v>
                </c:pt>
                <c:pt idx="33">
                  <c:v>141.29093818760427</c:v>
                </c:pt>
                <c:pt idx="34">
                  <c:v>141.45399363277554</c:v>
                </c:pt>
                <c:pt idx="35">
                  <c:v>141.61588863596407</c:v>
                </c:pt>
                <c:pt idx="36">
                  <c:v>141.7766165085626</c:v>
                </c:pt>
                <c:pt idx="37">
                  <c:v>141.93617059833028</c:v>
                </c:pt>
                <c:pt idx="38">
                  <c:v>142.09454429003267</c:v>
                </c:pt>
                <c:pt idx="39">
                  <c:v>142.25173100608302</c:v>
                </c:pt>
                <c:pt idx="40">
                  <c:v>142.4077242071842</c:v>
                </c:pt>
                <c:pt idx="41">
                  <c:v>142.47174961120945</c:v>
                </c:pt>
                <c:pt idx="42">
                  <c:v>142.44358294621892</c:v>
                </c:pt>
                <c:pt idx="43">
                  <c:v>142.41389934513475</c:v>
                </c:pt>
                <c:pt idx="44">
                  <c:v>142.38269764394894</c:v>
                </c:pt>
                <c:pt idx="45">
                  <c:v>142.34997675603276</c:v>
                </c:pt>
                <c:pt idx="46">
                  <c:v>142.31573567233795</c:v>
                </c:pt>
                <c:pt idx="47">
                  <c:v>142.27997346159111</c:v>
                </c:pt>
                <c:pt idx="48">
                  <c:v>142.24268927047967</c:v>
                </c:pt>
                <c:pt idx="49">
                  <c:v>142.20388232383073</c:v>
                </c:pt>
                <c:pt idx="50">
                  <c:v>142.16355192478187</c:v>
                </c:pt>
                <c:pt idx="51">
                  <c:v>142.12169745494433</c:v>
                </c:pt>
                <c:pt idx="52">
                  <c:v>142.07831837455765</c:v>
                </c:pt>
                <c:pt idx="53">
                  <c:v>142.03341422263668</c:v>
                </c:pt>
                <c:pt idx="54">
                  <c:v>141.98698461711044</c:v>
                </c:pt>
                <c:pt idx="55">
                  <c:v>141.93902925495243</c:v>
                </c:pt>
                <c:pt idx="56">
                  <c:v>141.88954791230302</c:v>
                </c:pt>
                <c:pt idx="57">
                  <c:v>141.83854044458315</c:v>
                </c:pt>
                <c:pt idx="58">
                  <c:v>141.78600678660001</c:v>
                </c:pt>
                <c:pt idx="59">
                  <c:v>141.73194695264354</c:v>
                </c:pt>
                <c:pt idx="60">
                  <c:v>141.67636103657532</c:v>
                </c:pt>
                <c:pt idx="61">
                  <c:v>141.6192492119082</c:v>
                </c:pt>
                <c:pt idx="62">
                  <c:v>141.56061173187757</c:v>
                </c:pt>
                <c:pt idx="63">
                  <c:v>141.50044892950393</c:v>
                </c:pt>
                <c:pt idx="64">
                  <c:v>141.4387612176468</c:v>
                </c:pt>
                <c:pt idx="65">
                  <c:v>141.37554908904991</c:v>
                </c:pt>
                <c:pt idx="66">
                  <c:v>141.31081311637735</c:v>
                </c:pt>
                <c:pt idx="67">
                  <c:v>141.2445539522414</c:v>
                </c:pt>
                <c:pt idx="68">
                  <c:v>141.17677232922125</c:v>
                </c:pt>
                <c:pt idx="69">
                  <c:v>141.10746905987276</c:v>
                </c:pt>
                <c:pt idx="70">
                  <c:v>141.03664503672968</c:v>
                </c:pt>
                <c:pt idx="71">
                  <c:v>140.96430123229558</c:v>
                </c:pt>
                <c:pt idx="72">
                  <c:v>140.89043869902736</c:v>
                </c:pt>
                <c:pt idx="73">
                  <c:v>140.81505856930929</c:v>
                </c:pt>
                <c:pt idx="74">
                  <c:v>140.73816205541863</c:v>
                </c:pt>
                <c:pt idx="75">
                  <c:v>140.65975044948178</c:v>
                </c:pt>
                <c:pt idx="76">
                  <c:v>140.57982512342213</c:v>
                </c:pt>
                <c:pt idx="77">
                  <c:v>140.49838752889832</c:v>
                </c:pt>
                <c:pt idx="78">
                  <c:v>140.4154391972337</c:v>
                </c:pt>
                <c:pt idx="79">
                  <c:v>140.33098173933718</c:v>
                </c:pt>
                <c:pt idx="80">
                  <c:v>140.2450168456148</c:v>
                </c:pt>
                <c:pt idx="81">
                  <c:v>140.06525557789374</c:v>
                </c:pt>
                <c:pt idx="82">
                  <c:v>139.79152057658672</c:v>
                </c:pt>
                <c:pt idx="83">
                  <c:v>139.51606061633365</c:v>
                </c:pt>
                <c:pt idx="84">
                  <c:v>139.23888439156289</c:v>
                </c:pt>
                <c:pt idx="85">
                  <c:v>138.96000068609501</c:v>
                </c:pt>
                <c:pt idx="86">
                  <c:v>138.67941837218189</c:v>
                </c:pt>
                <c:pt idx="87">
                  <c:v>138.39714640953616</c:v>
                </c:pt>
                <c:pt idx="88">
                  <c:v>138.11319384435097</c:v>
                </c:pt>
                <c:pt idx="89">
                  <c:v>137.82756980830982</c:v>
                </c:pt>
                <c:pt idx="90">
                  <c:v>137.5402835175874</c:v>
                </c:pt>
                <c:pt idx="91">
                  <c:v>137.21055169808363</c:v>
                </c:pt>
                <c:pt idx="92">
                  <c:v>136.83831095366537</c:v>
                </c:pt>
                <c:pt idx="93">
                  <c:v>136.46434982751856</c:v>
                </c:pt>
                <c:pt idx="94">
                  <c:v>136.08868113185531</c:v>
                </c:pt>
                <c:pt idx="95">
                  <c:v>135.71131775627717</c:v>
                </c:pt>
                <c:pt idx="96">
                  <c:v>135.33227266628089</c:v>
                </c:pt>
                <c:pt idx="97">
                  <c:v>134.95155890175766</c:v>
                </c:pt>
                <c:pt idx="98">
                  <c:v>134.5691895754864</c:v>
                </c:pt>
                <c:pt idx="99">
                  <c:v>134.18517787162119</c:v>
                </c:pt>
                <c:pt idx="100">
                  <c:v>133.79953704417326</c:v>
                </c:pt>
                <c:pt idx="101">
                  <c:v>133.40575321332472</c:v>
                </c:pt>
                <c:pt idx="102">
                  <c:v>133.00382923069907</c:v>
                </c:pt>
                <c:pt idx="103">
                  <c:v>132.60030454621088</c:v>
                </c:pt>
                <c:pt idx="104">
                  <c:v>132.19519321471063</c:v>
                </c:pt>
                <c:pt idx="105">
                  <c:v>131.78850935226373</c:v>
                </c:pt>
                <c:pt idx="106">
                  <c:v>131.38026713453272</c:v>
                </c:pt>
                <c:pt idx="107">
                  <c:v>130.97048079515682</c:v>
                </c:pt>
                <c:pt idx="108">
                  <c:v>130.55916462412881</c:v>
                </c:pt>
                <c:pt idx="109">
                  <c:v>130.14633296616987</c:v>
                </c:pt>
                <c:pt idx="110">
                  <c:v>129.73200021910236</c:v>
                </c:pt>
                <c:pt idx="111">
                  <c:v>129.39135966143684</c:v>
                </c:pt>
                <c:pt idx="112">
                  <c:v>129.12453465426628</c:v>
                </c:pt>
                <c:pt idx="113">
                  <c:v>128.85636441802362</c:v>
                </c:pt>
                <c:pt idx="114">
                  <c:v>128.58685773549496</c:v>
                </c:pt>
                <c:pt idx="115">
                  <c:v>128.31602344586742</c:v>
                </c:pt>
                <c:pt idx="116">
                  <c:v>128.04387044383174</c:v>
                </c:pt>
                <c:pt idx="117">
                  <c:v>127.77040767868115</c:v>
                </c:pt>
                <c:pt idx="118">
                  <c:v>127.49564415340507</c:v>
                </c:pt>
                <c:pt idx="119">
                  <c:v>127.21958892377954</c:v>
                </c:pt>
                <c:pt idx="120">
                  <c:v>126.94225109745304</c:v>
                </c:pt>
                <c:pt idx="121">
                  <c:v>126.53890328912348</c:v>
                </c:pt>
                <c:pt idx="122">
                  <c:v>126.0093917231744</c:v>
                </c:pt>
                <c:pt idx="123">
                  <c:v>125.47847263812321</c:v>
                </c:pt>
                <c:pt idx="124">
                  <c:v>124.94616527131726</c:v>
                </c:pt>
                <c:pt idx="125">
                  <c:v>124.41248887657096</c:v>
                </c:pt>
                <c:pt idx="126">
                  <c:v>123.87746272196756</c:v>
                </c:pt>
                <c:pt idx="127">
                  <c:v>123.34110608766998</c:v>
                </c:pt>
                <c:pt idx="128">
                  <c:v>122.80343826374082</c:v>
                </c:pt>
                <c:pt idx="129">
                  <c:v>122.26447854797156</c:v>
                </c:pt>
                <c:pt idx="130">
                  <c:v>121.72424624372242</c:v>
                </c:pt>
                <c:pt idx="131">
                  <c:v>121.15009332561047</c:v>
                </c:pt>
                <c:pt idx="132">
                  <c:v>120.54200274913921</c:v>
                </c:pt>
                <c:pt idx="133">
                  <c:v>119.93266907331022</c:v>
                </c:pt>
                <c:pt idx="134">
                  <c:v>119.32211443784483</c:v>
                </c:pt>
                <c:pt idx="135">
                  <c:v>118.71036096249122</c:v>
                </c:pt>
                <c:pt idx="136">
                  <c:v>118.09743074455827</c:v>
                </c:pt>
                <c:pt idx="137">
                  <c:v>117.48334585646828</c:v>
                </c:pt>
                <c:pt idx="138">
                  <c:v>116.8681283433276</c:v>
                </c:pt>
                <c:pt idx="139">
                  <c:v>116.25180022051622</c:v>
                </c:pt>
                <c:pt idx="140">
                  <c:v>115.63438347129681</c:v>
                </c:pt>
                <c:pt idx="141">
                  <c:v>114.6251824310128</c:v>
                </c:pt>
                <c:pt idx="142">
                  <c:v>113.22386852581185</c:v>
                </c:pt>
                <c:pt idx="143">
                  <c:v>111.82134558343454</c:v>
                </c:pt>
                <c:pt idx="144">
                  <c:v>110.41767789794683</c:v>
                </c:pt>
                <c:pt idx="145">
                  <c:v>109.0129293534408</c:v>
                </c:pt>
                <c:pt idx="146">
                  <c:v>107.60716341533657</c:v>
                </c:pt>
                <c:pt idx="147">
                  <c:v>106.20044312186843</c:v>
                </c:pt>
                <c:pt idx="148">
                  <c:v>104.79283107575581</c:v>
                </c:pt>
                <c:pt idx="149">
                  <c:v>103.38438943605965</c:v>
                </c:pt>
                <c:pt idx="150">
                  <c:v>101.97517991022528</c:v>
                </c:pt>
                <c:pt idx="151">
                  <c:v>100.5652637463122</c:v>
                </c:pt>
                <c:pt idx="152">
                  <c:v>99.154701725411215</c:v>
                </c:pt>
                <c:pt idx="153">
                  <c:v>97.743554154249452</c:v>
                </c:pt>
                <c:pt idx="154">
                  <c:v>96.331880857983776</c:v>
                </c:pt>
                <c:pt idx="155">
                  <c:v>94.919741173182331</c:v>
                </c:pt>
                <c:pt idx="156">
                  <c:v>91.65608069555887</c:v>
                </c:pt>
                <c:pt idx="157">
                  <c:v>86.54043015528093</c:v>
                </c:pt>
                <c:pt idx="158">
                  <c:v>81.4255972378362</c:v>
                </c:pt>
                <c:pt idx="159">
                  <c:v>76.312059363677733</c:v>
                </c:pt>
                <c:pt idx="160">
                  <c:v>71.200286850320509</c:v>
                </c:pt>
                <c:pt idx="161">
                  <c:v>63.737124724650357</c:v>
                </c:pt>
                <c:pt idx="162">
                  <c:v>53.92403047966917</c:v>
                </c:pt>
                <c:pt idx="163">
                  <c:v>44.342787675666486</c:v>
                </c:pt>
                <c:pt idx="164">
                  <c:v>34.994699109811421</c:v>
                </c:pt>
                <c:pt idx="165">
                  <c:v>27.904870785093568</c:v>
                </c:pt>
                <c:pt idx="166">
                  <c:v>23.071994754882866</c:v>
                </c:pt>
                <c:pt idx="167">
                  <c:v>16.535574842536374</c:v>
                </c:pt>
                <c:pt idx="168">
                  <c:v>9.5350176191985483</c:v>
                </c:pt>
                <c:pt idx="169">
                  <c:v>-0.98592016308119856</c:v>
                </c:pt>
                <c:pt idx="170">
                  <c:v>-12.546686314835933</c:v>
                </c:pt>
                <c:pt idx="171">
                  <c:v>-16.44166801987965</c:v>
                </c:pt>
                <c:pt idx="172">
                  <c:v>-16.394451535141542</c:v>
                </c:pt>
                <c:pt idx="173">
                  <c:v>-16.347395896984946</c:v>
                </c:pt>
                <c:pt idx="174">
                  <c:v>-16.300500384135344</c:v>
                </c:pt>
                <c:pt idx="175">
                  <c:v>-16.253764279411481</c:v>
                </c:pt>
                <c:pt idx="176">
                  <c:v>-16.20718686969753</c:v>
                </c:pt>
                <c:pt idx="177">
                  <c:v>-16.160767445915312</c:v>
                </c:pt>
                <c:pt idx="178">
                  <c:v>-16.114505302996836</c:v>
                </c:pt>
                <c:pt idx="179">
                  <c:v>-16.068399739856964</c:v>
                </c:pt>
                <c:pt idx="180">
                  <c:v>-16.022450059366445</c:v>
                </c:pt>
                <c:pt idx="181">
                  <c:v>-15.976655568324965</c:v>
                </c:pt>
                <c:pt idx="182">
                  <c:v>-15.931015577434605</c:v>
                </c:pt>
                <c:pt idx="183">
                  <c:v>-15.885529401273358</c:v>
                </c:pt>
                <c:pt idx="184">
                  <c:v>-15.840196358268942</c:v>
                </c:pt>
                <c:pt idx="185">
                  <c:v>-15.795015770672814</c:v>
                </c:pt>
                <c:pt idx="186">
                  <c:v>-15.749986964534337</c:v>
                </c:pt>
                <c:pt idx="187">
                  <c:v>-15.705109269675216</c:v>
                </c:pt>
                <c:pt idx="188">
                  <c:v>-15.660382019664064</c:v>
                </c:pt>
                <c:pt idx="189">
                  <c:v>-15.615804551791248</c:v>
                </c:pt>
                <c:pt idx="190">
                  <c:v>-15.571376207043899</c:v>
                </c:pt>
                <c:pt idx="191">
                  <c:v>-15.527096330081068</c:v>
                </c:pt>
                <c:pt idx="192">
                  <c:v>-15.482964269209154</c:v>
                </c:pt>
                <c:pt idx="193">
                  <c:v>-15.438979376357503</c:v>
                </c:pt>
                <c:pt idx="194">
                  <c:v>-15.395141007054136</c:v>
                </c:pt>
                <c:pt idx="195">
                  <c:v>-15.351448520401792</c:v>
                </c:pt>
                <c:pt idx="196">
                  <c:v>-15.307901279054036</c:v>
                </c:pt>
                <c:pt idx="197">
                  <c:v>-15.264498649191591</c:v>
                </c:pt>
                <c:pt idx="198">
                  <c:v>-15.221240000498911</c:v>
                </c:pt>
                <c:pt idx="199">
                  <c:v>-15.178124706140876</c:v>
                </c:pt>
                <c:pt idx="200">
                  <c:v>-15.135152142739624</c:v>
                </c:pt>
                <c:pt idx="201">
                  <c:v>-15.09232169035173</c:v>
                </c:pt>
                <c:pt idx="202">
                  <c:v>-14.668664948653646</c:v>
                </c:pt>
                <c:pt idx="203">
                  <c:v>-14.258799363909898</c:v>
                </c:pt>
                <c:pt idx="204">
                  <c:v>-13.86214116932943</c:v>
                </c:pt>
                <c:pt idx="205">
                  <c:v>-13.478137665101631</c:v>
                </c:pt>
                <c:pt idx="206">
                  <c:v>-13.106265247413591</c:v>
                </c:pt>
                <c:pt idx="207">
                  <c:v>-12.746027582511307</c:v>
                </c:pt>
                <c:pt idx="208">
                  <c:v>-12.396953913695439</c:v>
                </c:pt>
                <c:pt idx="209">
                  <c:v>-12.058597490270733</c:v>
                </c:pt>
                <c:pt idx="210">
                  <c:v>-11.730534108481091</c:v>
                </c:pt>
                <c:pt idx="211">
                  <c:v>-11.41236075537166</c:v>
                </c:pt>
                <c:pt idx="212">
                  <c:v>-11.103694347337868</c:v>
                </c:pt>
                <c:pt idx="213">
                  <c:v>-10.804170555857747</c:v>
                </c:pt>
                <c:pt idx="214">
                  <c:v>-10.513442713568276</c:v>
                </c:pt>
                <c:pt idx="215">
                  <c:v>-10.231180794445613</c:v>
                </c:pt>
                <c:pt idx="216">
                  <c:v>-9.9570704623905062</c:v>
                </c:pt>
                <c:pt idx="217">
                  <c:v>-9.6908121830098466</c:v>
                </c:pt>
                <c:pt idx="218">
                  <c:v>-9.4321203938284892</c:v>
                </c:pt>
                <c:pt idx="219">
                  <c:v>-9.1807227285670923</c:v>
                </c:pt>
                <c:pt idx="220">
                  <c:v>-8.9363592914859282</c:v>
                </c:pt>
                <c:pt idx="221">
                  <c:v>-8.6987819781255897</c:v>
                </c:pt>
                <c:pt idx="222">
                  <c:v>-8.467753839075792</c:v>
                </c:pt>
                <c:pt idx="223">
                  <c:v>-8.2430484836770965</c:v>
                </c:pt>
                <c:pt idx="224">
                  <c:v>-8.0244495208092452</c:v>
                </c:pt>
                <c:pt idx="225">
                  <c:v>-7.8117500341465282</c:v>
                </c:pt>
                <c:pt idx="226">
                  <c:v>-7.6047520894676435</c:v>
                </c:pt>
                <c:pt idx="227">
                  <c:v>-7.4032662717962792</c:v>
                </c:pt>
                <c:pt idx="228">
                  <c:v>-7.2071112503211676</c:v>
                </c:pt>
                <c:pt idx="229">
                  <c:v>-7.0161133692021034</c:v>
                </c:pt>
                <c:pt idx="230">
                  <c:v>-6.8301062625129711</c:v>
                </c:pt>
                <c:pt idx="231">
                  <c:v>-6.6489304917046823</c:v>
                </c:pt>
                <c:pt idx="232">
                  <c:v>-6.4724332040925132</c:v>
                </c:pt>
                <c:pt idx="233">
                  <c:v>-6.3004678109831715</c:v>
                </c:pt>
                <c:pt idx="234">
                  <c:v>-6.1328936841591064</c:v>
                </c:pt>
                <c:pt idx="235">
                  <c:v>-5.9695758695313135</c:v>
                </c:pt>
                <c:pt idx="236">
                  <c:v>-5.8103848168579653</c:v>
                </c:pt>
                <c:pt idx="237">
                  <c:v>-5.6551961245055349</c:v>
                </c:pt>
                <c:pt idx="238">
                  <c:v>-5.5038902983021014</c:v>
                </c:pt>
                <c:pt idx="239">
                  <c:v>-5.356352523599571</c:v>
                </c:pt>
                <c:pt idx="240">
                  <c:v>-5.2124724497237871</c:v>
                </c:pt>
                <c:pt idx="241">
                  <c:v>-5.0721439860484372</c:v>
                </c:pt>
                <c:pt idx="242">
                  <c:v>-4.9352651089816337</c:v>
                </c:pt>
                <c:pt idx="243">
                  <c:v>-4.8017376792025726</c:v>
                </c:pt>
                <c:pt idx="244">
                  <c:v>-4.671467268531047</c:v>
                </c:pt>
                <c:pt idx="245">
                  <c:v>-4.5443629958538949</c:v>
                </c:pt>
                <c:pt idx="246">
                  <c:v>-4.4203373715713496</c:v>
                </c:pt>
                <c:pt idx="247">
                  <c:v>-4.2993061500617937</c:v>
                </c:pt>
                <c:pt idx="248">
                  <c:v>-4.1811881896965142</c:v>
                </c:pt>
                <c:pt idx="249">
                  <c:v>-4.0659053199668458</c:v>
                </c:pt>
                <c:pt idx="250">
                  <c:v>-3.9533822153144049</c:v>
                </c:pt>
                <c:pt idx="251">
                  <c:v>-3.8435462752816449</c:v>
                </c:pt>
                <c:pt idx="252">
                  <c:v>-3.7363275106243803</c:v>
                </c:pt>
                <c:pt idx="253">
                  <c:v>-3.6316584350508787</c:v>
                </c:pt>
                <c:pt idx="254">
                  <c:v>-3.5294739622731157</c:v>
                </c:pt>
                <c:pt idx="255">
                  <c:v>-3.4297113080756656</c:v>
                </c:pt>
                <c:pt idx="256">
                  <c:v>-3.3323098971259459</c:v>
                </c:pt>
                <c:pt idx="257">
                  <c:v>-3.2372112742666572</c:v>
                </c:pt>
                <c:pt idx="258">
                  <c:v>-3.1443590200471694</c:v>
                </c:pt>
                <c:pt idx="259">
                  <c:v>-3.0536986702654336</c:v>
                </c:pt>
                <c:pt idx="260">
                  <c:v>-2.9651776393058351</c:v>
                </c:pt>
                <c:pt idx="261">
                  <c:v>-2.8787451470713159</c:v>
                </c:pt>
                <c:pt idx="262">
                  <c:v>-2.7943521493201384</c:v>
                </c:pt>
                <c:pt idx="263">
                  <c:v>-2.7119512712289051</c:v>
                </c:pt>
                <c:pt idx="264">
                  <c:v>-2.6314967440139991</c:v>
                </c:pt>
                <c:pt idx="265">
                  <c:v>-2.5529443444533806</c:v>
                </c:pt>
                <c:pt idx="266">
                  <c:v>-2.4762513371599288</c:v>
                </c:pt>
                <c:pt idx="267">
                  <c:v>-2.4013764194660525</c:v>
                </c:pt>
                <c:pt idx="268">
                  <c:v>-2.3282796687873812</c:v>
                </c:pt>
                <c:pt idx="269">
                  <c:v>-2.2569224923408848</c:v>
                </c:pt>
                <c:pt idx="270">
                  <c:v>-2.1872675790997915</c:v>
                </c:pt>
                <c:pt idx="271">
                  <c:v>-2.1192788538743232</c:v>
                </c:pt>
                <c:pt idx="272">
                  <c:v>-2.0529214334134274</c:v>
                </c:pt>
                <c:pt idx="273">
                  <c:v>-1.9881615844285556</c:v>
                </c:pt>
                <c:pt idx="274">
                  <c:v>-1.9249666834458938</c:v>
                </c:pt>
                <c:pt idx="275">
                  <c:v>-1.8633051783986787</c:v>
                </c:pt>
                <c:pt idx="276">
                  <c:v>-1.8031465518759193</c:v>
                </c:pt>
                <c:pt idx="277">
                  <c:v>-1.7444612859484303</c:v>
                </c:pt>
                <c:pt idx="278">
                  <c:v>-1.6872208284972718</c:v>
                </c:pt>
                <c:pt idx="279">
                  <c:v>-1.6313975609736453</c:v>
                </c:pt>
                <c:pt idx="280">
                  <c:v>-1.5769647675230689</c:v>
                </c:pt>
                <c:pt idx="281">
                  <c:v>-1.5238966054101029</c:v>
                </c:pt>
                <c:pt idx="282">
                  <c:v>-1.4721680766832062</c:v>
                </c:pt>
                <c:pt idx="283">
                  <c:v>-1.4217550010223767</c:v>
                </c:pt>
                <c:pt idx="284">
                  <c:v>-1.3726339897151254</c:v>
                </c:pt>
                <c:pt idx="285">
                  <c:v>-1.324782420709034</c:v>
                </c:pt>
                <c:pt idx="286">
                  <c:v>-1.2781784146916924</c:v>
                </c:pt>
                <c:pt idx="287">
                  <c:v>-1.2328008121511913</c:v>
                </c:pt>
                <c:pt idx="288">
                  <c:v>-1.1886291513725602</c:v>
                </c:pt>
                <c:pt idx="289">
                  <c:v>-1.1456436473276184</c:v>
                </c:pt>
                <c:pt idx="290">
                  <c:v>-1.1038251714176586</c:v>
                </c:pt>
                <c:pt idx="291">
                  <c:v>-1.0631552320301425</c:v>
                </c:pt>
                <c:pt idx="292">
                  <c:v>-1.0236159558722984</c:v>
                </c:pt>
                <c:pt idx="293">
                  <c:v>-0.98519007004600578</c:v>
                </c:pt>
                <c:pt idx="294">
                  <c:v>-0.94786088482981057</c:v>
                </c:pt>
                <c:pt idx="295">
                  <c:v>-0.91161227713515003</c:v>
                </c:pt>
                <c:pt idx="296">
                  <c:v>-0.87642867460509644</c:v>
                </c:pt>
                <c:pt idx="297">
                  <c:v>-0.84229504032490421</c:v>
                </c:pt>
                <c:pt idx="298">
                  <c:v>-0.80919685811464481</c:v>
                </c:pt>
                <c:pt idx="299">
                  <c:v>-0.777120118374938</c:v>
                </c:pt>
                <c:pt idx="300">
                  <c:v>-0.74605130445752765</c:v>
                </c:pt>
                <c:pt idx="301">
                  <c:v>-0.71597737953295171</c:v>
                </c:pt>
                <c:pt idx="302">
                  <c:v>-0.68688577392798489</c:v>
                </c:pt>
                <c:pt idx="303">
                  <c:v>-0.6587643729058088</c:v>
                </c:pt>
                <c:pt idx="304">
                  <c:v>-0.63160150486198796</c:v>
                </c:pt>
                <c:pt idx="305">
                  <c:v>-0.60538592990931184</c:v>
                </c:pt>
                <c:pt idx="306">
                  <c:v>-0.58010682882438813</c:v>
                </c:pt>
                <c:pt idx="307">
                  <c:v>-0.55575379232853195</c:v>
                </c:pt>
                <c:pt idx="308">
                  <c:v>-0.5323168106749766</c:v>
                </c:pt>
                <c:pt idx="309">
                  <c:v>-0.50978626351375622</c:v>
                </c:pt>
                <c:pt idx="310">
                  <c:v>-0.48815291000472349</c:v>
                </c:pt>
                <c:pt idx="311">
                  <c:v>-0.4674078791481231</c:v>
                </c:pt>
                <c:pt idx="312">
                  <c:v>-0.44754266030090095</c:v>
                </c:pt>
                <c:pt idx="313">
                  <c:v>-0.4285490938455061</c:v>
                </c:pt>
                <c:pt idx="314">
                  <c:v>-0.41041936197638151</c:v>
                </c:pt>
                <c:pt idx="315">
                  <c:v>-0.39314597956761071</c:v>
                </c:pt>
                <c:pt idx="316">
                  <c:v>-0.37672178508337467</c:v>
                </c:pt>
                <c:pt idx="317">
                  <c:v>-0.36113993149100182</c:v>
                </c:pt>
                <c:pt idx="318">
                  <c:v>-0.34639387713454778</c:v>
                </c:pt>
                <c:pt idx="319">
                  <c:v>-0.33247737652509401</c:v>
                </c:pt>
                <c:pt idx="320">
                  <c:v>-0.31938447100246359</c:v>
                </c:pt>
                <c:pt idx="321">
                  <c:v>-0.30710947922192244</c:v>
                </c:pt>
                <c:pt idx="322">
                  <c:v>-0.29564698741888007</c:v>
                </c:pt>
                <c:pt idx="323">
                  <c:v>-0.2849918394048197</c:v>
                </c:pt>
                <c:pt idx="324">
                  <c:v>-0.27513912624890674</c:v>
                </c:pt>
                <c:pt idx="325">
                  <c:v>-0.2660841756022046</c:v>
                </c:pt>
                <c:pt idx="326">
                  <c:v>-0.25782254062541815</c:v>
                </c:pt>
                <c:pt idx="327">
                  <c:v>-0.25034998848681744</c:v>
                </c:pt>
                <c:pt idx="328">
                  <c:v>-0.24366248840466187</c:v>
                </c:pt>
                <c:pt idx="329">
                  <c:v>-0.23775619921815108</c:v>
                </c:pt>
                <c:pt idx="330">
                  <c:v>-0.2326274564826715</c:v>
                </c:pt>
                <c:pt idx="331">
                  <c:v>-0.22827275909872896</c:v>
                </c:pt>
                <c:pt idx="332">
                  <c:v>-0.22468875549913647</c:v>
                </c:pt>
                <c:pt idx="333">
                  <c:v>-0.22187222943523535</c:v>
                </c:pt>
                <c:pt idx="334">
                  <c:v>-0.21982008541948467</c:v>
                </c:pt>
                <c:pt idx="335">
                  <c:v>-0.21852933389780491</c:v>
                </c:pt>
                <c:pt idx="336">
                  <c:v>-0.21799707623968964</c:v>
                </c:pt>
                <c:pt idx="337">
                  <c:v>-0.21822048964636437</c:v>
                </c:pt>
                <c:pt idx="338">
                  <c:v>-0.21919681208634054</c:v>
                </c:pt>
                <c:pt idx="339">
                  <c:v>-0.22092332737293044</c:v>
                </c:pt>
                <c:pt idx="340">
                  <c:v>-0.22339735049927253</c:v>
                </c:pt>
                <c:pt idx="341">
                  <c:v>-0.22661621334308979</c:v>
                </c:pt>
                <c:pt idx="342">
                  <c:v>-0.23057725084603339</c:v>
                </c:pt>
                <c:pt idx="343">
                  <c:v>-0.23527778776157945</c:v>
                </c:pt>
                <c:pt idx="344">
                  <c:v>-0.240715126051845</c:v>
                </c:pt>
                <c:pt idx="345">
                  <c:v>-0.24688653299825458</c:v>
                </c:pt>
                <c:pt idx="346">
                  <c:v>-0.25378923007469462</c:v>
                </c:pt>
                <c:pt idx="347">
                  <c:v>-0.2614203826155081</c:v>
                </c:pt>
                <c:pt idx="348">
                  <c:v>-0.2697770902952053</c:v>
                </c:pt>
                <c:pt idx="349">
                  <c:v>-0.27885637842266847</c:v>
                </c:pt>
                <c:pt idx="350">
                  <c:v>-0.28865519004034546</c:v>
                </c:pt>
                <c:pt idx="351">
                  <c:v>-0.29917037880867703</c:v>
                </c:pt>
                <c:pt idx="352">
                  <c:v>-0.31039870264783975</c:v>
                </c:pt>
                <c:pt idx="353">
                  <c:v>-0.32233681810275877</c:v>
                </c:pt>
                <c:pt idx="354">
                  <c:v>-0.33498127539308165</c:v>
                </c:pt>
                <c:pt idx="355">
                  <c:v>-0.34832851410717591</c:v>
                </c:pt>
                <c:pt idx="356">
                  <c:v>-0.36237485949798565</c:v>
                </c:pt>
                <c:pt idx="357">
                  <c:v>-0.37711651933847556</c:v>
                </c:pt>
                <c:pt idx="358">
                  <c:v>-0.39254958129517203</c:v>
                </c:pt>
                <c:pt idx="359">
                  <c:v>-0.40867001077975601</c:v>
                </c:pt>
                <c:pt idx="360">
                  <c:v>-0.42547364924056641</c:v>
                </c:pt>
                <c:pt idx="361">
                  <c:v>-0.44295621285808845</c:v>
                </c:pt>
                <c:pt idx="362">
                  <c:v>-0.4611132916108765</c:v>
                </c:pt>
                <c:pt idx="363">
                  <c:v>-0.47994034868082003</c:v>
                </c:pt>
                <c:pt idx="364">
                  <c:v>-0.49943272016908985</c:v>
                </c:pt>
                <c:pt idx="365">
                  <c:v>-0.51958561509647594</c:v>
                </c:pt>
                <c:pt idx="366">
                  <c:v>-0.54039411566409234</c:v>
                </c:pt>
                <c:pt idx="367">
                  <c:v>-0.56185317775253807</c:v>
                </c:pt>
                <c:pt idx="368">
                  <c:v>-0.58395763163959813</c:v>
                </c:pt>
                <c:pt idx="369">
                  <c:v>-0.60670218291837608</c:v>
                </c:pt>
                <c:pt idx="370">
                  <c:v>-0.63008141359942238</c:v>
                </c:pt>
                <c:pt idx="371">
                  <c:v>-0.65408978338193347</c:v>
                </c:pt>
                <c:pt idx="372">
                  <c:v>-0.67872163108046979</c:v>
                </c:pt>
                <c:pt idx="373">
                  <c:v>-0.70397117619486616</c:v>
                </c:pt>
                <c:pt idx="374">
                  <c:v>-0.72983252061212112</c:v>
                </c:pt>
                <c:pt idx="375">
                  <c:v>-0.75629965043004022</c:v>
                </c:pt>
                <c:pt idx="376">
                  <c:v>-0.78336643789328286</c:v>
                </c:pt>
                <c:pt idx="377">
                  <c:v>-0.81102664343326802</c:v>
                </c:pt>
                <c:pt idx="378">
                  <c:v>-0.83927391780408123</c:v>
                </c:pt>
                <c:pt idx="379">
                  <c:v>-0.86810180430715111</c:v>
                </c:pt>
                <c:pt idx="380">
                  <c:v>-0.897503741098027</c:v>
                </c:pt>
                <c:pt idx="381">
                  <c:v>-0.92747306356907411</c:v>
                </c:pt>
                <c:pt idx="382">
                  <c:v>-0.95800300680234574</c:v>
                </c:pt>
                <c:pt idx="383">
                  <c:v>-0.98908670808728283</c:v>
                </c:pt>
                <c:pt idx="384">
                  <c:v>-1.0207172094982302</c:v>
                </c:pt>
                <c:pt idx="385">
                  <c:v>-1.0528874605270857</c:v>
                </c:pt>
                <c:pt idx="386">
                  <c:v>-1.0855903207666537</c:v>
                </c:pt>
                <c:pt idx="387">
                  <c:v>-1.1188185626405338</c:v>
                </c:pt>
                <c:pt idx="388">
                  <c:v>-1.1525648741756049</c:v>
                </c:pt>
                <c:pt idx="389">
                  <c:v>-1.1868218618133299</c:v>
                </c:pt>
                <c:pt idx="390">
                  <c:v>-1.2215820532563282</c:v>
                </c:pt>
                <c:pt idx="391">
                  <c:v>-1.2568379003467904</c:v>
                </c:pt>
                <c:pt idx="392">
                  <c:v>-1.2925817819734686</c:v>
                </c:pt>
                <c:pt idx="393">
                  <c:v>-1.3288060070041139</c:v>
                </c:pt>
                <c:pt idx="394">
                  <c:v>-1.3655028172403296</c:v>
                </c:pt>
                <c:pt idx="395">
                  <c:v>-1.4026643903919509</c:v>
                </c:pt>
                <c:pt idx="396">
                  <c:v>-1.4402828430681385</c:v>
                </c:pt>
                <c:pt idx="397">
                  <c:v>-1.4783502337824737</c:v>
                </c:pt>
                <c:pt idx="398">
                  <c:v>-1.5168585659694378</c:v>
                </c:pt>
                <c:pt idx="399">
                  <c:v>-1.5557997910097237</c:v>
                </c:pt>
                <c:pt idx="400">
                  <c:v>-1.595165811261922</c:v>
                </c:pt>
                <c:pt idx="401">
                  <c:v>-1.6349484830981744</c:v>
                </c:pt>
                <c:pt idx="402">
                  <c:v>-1.6751396199414783</c:v>
                </c:pt>
                <c:pt idx="403">
                  <c:v>-1.7157309953023649</c:v>
                </c:pt>
                <c:pt idx="404">
                  <c:v>-1.7567143458127676</c:v>
                </c:pt>
                <c:pt idx="405">
                  <c:v>-1.7980813742549127</c:v>
                </c:pt>
                <c:pt idx="406">
                  <c:v>-1.8398237525831684</c:v>
                </c:pt>
                <c:pt idx="407">
                  <c:v>-1.8819331249368112</c:v>
                </c:pt>
                <c:pt idx="408">
                  <c:v>-1.9244011106417329</c:v>
                </c:pt>
                <c:pt idx="409">
                  <c:v>-1.9672193071991706</c:v>
                </c:pt>
                <c:pt idx="410">
                  <c:v>-2.0103792932595841</c:v>
                </c:pt>
                <c:pt idx="411">
                  <c:v>-2.053872631579853</c:v>
                </c:pt>
                <c:pt idx="412">
                  <c:v>-2.0976908719620435</c:v>
                </c:pt>
                <c:pt idx="413">
                  <c:v>-2.1418255541719988</c:v>
                </c:pt>
                <c:pt idx="414">
                  <c:v>-2.1862682108360949</c:v>
                </c:pt>
                <c:pt idx="415">
                  <c:v>-2.2310103703145452</c:v>
                </c:pt>
                <c:pt idx="416">
                  <c:v>-2.2760435595496653</c:v>
                </c:pt>
                <c:pt idx="417">
                  <c:v>-2.3213593068875737</c:v>
                </c:pt>
                <c:pt idx="418">
                  <c:v>-2.3669491448718691</c:v>
                </c:pt>
                <c:pt idx="419">
                  <c:v>-2.4128046130078284</c:v>
                </c:pt>
                <c:pt idx="420">
                  <c:v>-2.4589172604957623</c:v>
                </c:pt>
                <c:pt idx="421">
                  <c:v>-2.5052786489321814</c:v>
                </c:pt>
                <c:pt idx="422">
                  <c:v>-2.5518803549775004</c:v>
                </c:pt>
                <c:pt idx="423">
                  <c:v>-2.5987139729890276</c:v>
                </c:pt>
                <c:pt idx="424">
                  <c:v>-2.6457711176180561</c:v>
                </c:pt>
                <c:pt idx="425">
                  <c:v>-2.6930434263699072</c:v>
                </c:pt>
                <c:pt idx="426">
                  <c:v>-2.7405225621258387</c:v>
                </c:pt>
                <c:pt idx="427">
                  <c:v>-2.788200215625753</c:v>
                </c:pt>
                <c:pt idx="428">
                  <c:v>-2.8360681079107284</c:v>
                </c:pt>
                <c:pt idx="429">
                  <c:v>-2.8841179927243821</c:v>
                </c:pt>
                <c:pt idx="430">
                  <c:v>-2.9323416588721947</c:v>
                </c:pt>
                <c:pt idx="431">
                  <c:v>-2.9807309325378961</c:v>
                </c:pt>
                <c:pt idx="432">
                  <c:v>-3.0292776795561429</c:v>
                </c:pt>
                <c:pt idx="433">
                  <c:v>-3.0779738076406704</c:v>
                </c:pt>
                <c:pt idx="434">
                  <c:v>-3.1268112685672298</c:v>
                </c:pt>
                <c:pt idx="435">
                  <c:v>-3.175782060310623</c:v>
                </c:pt>
                <c:pt idx="436">
                  <c:v>-3.2248782291352005</c:v>
                </c:pt>
                <c:pt idx="437">
                  <c:v>-3.2740918716382277</c:v>
                </c:pt>
                <c:pt idx="438">
                  <c:v>-3.3234151367456177</c:v>
                </c:pt>
                <c:pt idx="439">
                  <c:v>-3.3728402276594611</c:v>
                </c:pt>
                <c:pt idx="440">
                  <c:v>-3.4223594037569796</c:v>
                </c:pt>
                <c:pt idx="441">
                  <c:v>-3.4719649824404257</c:v>
                </c:pt>
                <c:pt idx="442">
                  <c:v>-3.5216493409376146</c:v>
                </c:pt>
                <c:pt idx="443">
                  <c:v>-3.5714049180527137</c:v>
                </c:pt>
                <c:pt idx="444">
                  <c:v>-3.6212242158670578</c:v>
                </c:pt>
                <c:pt idx="445">
                  <c:v>-3.6710998013897069</c:v>
                </c:pt>
                <c:pt idx="446">
                  <c:v>-3.7210243081575585</c:v>
                </c:pt>
                <c:pt idx="447">
                  <c:v>-3.7709904377848815</c:v>
                </c:pt>
                <c:pt idx="448">
                  <c:v>-3.8209909614620972</c:v>
                </c:pt>
                <c:pt idx="449">
                  <c:v>-3.8710187214037748</c:v>
                </c:pt>
                <c:pt idx="450">
                  <c:v>-3.921066632245775</c:v>
                </c:pt>
                <c:pt idx="451">
                  <c:v>-3.9711276823915211</c:v>
                </c:pt>
                <c:pt idx="452">
                  <c:v>-4.0211949353074763</c:v>
                </c:pt>
                <c:pt idx="453">
                  <c:v>-4.0712615307678393</c:v>
                </c:pt>
                <c:pt idx="454">
                  <c:v>-4.1213206860485823</c:v>
                </c:pt>
                <c:pt idx="455">
                  <c:v>-4.1713656970709749</c:v>
                </c:pt>
                <c:pt idx="456">
                  <c:v>-4.2213899394947569</c:v>
                </c:pt>
                <c:pt idx="457">
                  <c:v>-4.271386869761165</c:v>
                </c:pt>
                <c:pt idx="458">
                  <c:v>-4.3213500260860247</c:v>
                </c:pt>
                <c:pt idx="459">
                  <c:v>-4.3712730294032189</c:v>
                </c:pt>
                <c:pt idx="460">
                  <c:v>-4.4211495842587833</c:v>
                </c:pt>
                <c:pt idx="461">
                  <c:v>-4.4709734796559726</c:v>
                </c:pt>
                <c:pt idx="462">
                  <c:v>-4.5207385898516748</c:v>
                </c:pt>
                <c:pt idx="463">
                  <c:v>-4.5704388751044966</c:v>
                </c:pt>
                <c:pt idx="464">
                  <c:v>-4.6200683823749857</c:v>
                </c:pt>
                <c:pt idx="465">
                  <c:v>-4.6696212459783846</c:v>
                </c:pt>
                <c:pt idx="466">
                  <c:v>-4.7190916881904093</c:v>
                </c:pt>
                <c:pt idx="467">
                  <c:v>-4.7684740198064928</c:v>
                </c:pt>
                <c:pt idx="468">
                  <c:v>-4.8177626406550225</c:v>
                </c:pt>
                <c:pt idx="469">
                  <c:v>-4.8669520400651285</c:v>
                </c:pt>
                <c:pt idx="470">
                  <c:v>-4.9160367972894958</c:v>
                </c:pt>
                <c:pt idx="471">
                  <c:v>-4.9650115818828464</c:v>
                </c:pt>
                <c:pt idx="472">
                  <c:v>-5.0138711540366225</c:v>
                </c:pt>
                <c:pt idx="473">
                  <c:v>-5.0626103648705403</c:v>
                </c:pt>
                <c:pt idx="474">
                  <c:v>-5.1112241566815433</c:v>
                </c:pt>
                <c:pt idx="475">
                  <c:v>-5.1597075631509073</c:v>
                </c:pt>
                <c:pt idx="476">
                  <c:v>-5.208055709510063</c:v>
                </c:pt>
                <c:pt idx="477">
                  <c:v>-5.2562638126658632</c:v>
                </c:pt>
                <c:pt idx="478">
                  <c:v>-5.304327181285946</c:v>
                </c:pt>
                <c:pt idx="479">
                  <c:v>-5.3522412158449093</c:v>
                </c:pt>
                <c:pt idx="480">
                  <c:v>-5.4000014086320265</c:v>
                </c:pt>
                <c:pt idx="481">
                  <c:v>-5.4476033437211457</c:v>
                </c:pt>
                <c:pt idx="482">
                  <c:v>-5.495042696903627</c:v>
                </c:pt>
                <c:pt idx="483">
                  <c:v>-5.542315235584959</c:v>
                </c:pt>
                <c:pt idx="484">
                  <c:v>-5.5894168186458124</c:v>
                </c:pt>
                <c:pt idx="485">
                  <c:v>-5.6363433962683827</c:v>
                </c:pt>
                <c:pt idx="486">
                  <c:v>-5.6830910097286669</c:v>
                </c:pt>
                <c:pt idx="487">
                  <c:v>-5.7296557911554951</c:v>
                </c:pt>
                <c:pt idx="488">
                  <c:v>-5.7760339632571478</c:v>
                </c:pt>
                <c:pt idx="489">
                  <c:v>-5.8222218390162332</c:v>
                </c:pt>
                <c:pt idx="490">
                  <c:v>-5.868215821353707</c:v>
                </c:pt>
                <c:pt idx="491">
                  <c:v>-5.9140124027627712</c:v>
                </c:pt>
                <c:pt idx="492">
                  <c:v>-5.9596081649134423</c:v>
                </c:pt>
                <c:pt idx="493">
                  <c:v>-6.0049997782286386</c:v>
                </c:pt>
                <c:pt idx="494">
                  <c:v>-6.0501840014324841</c:v>
                </c:pt>
                <c:pt idx="495">
                  <c:v>-6.0951576810717345</c:v>
                </c:pt>
                <c:pt idx="496">
                  <c:v>-6.1399177510110299</c:v>
                </c:pt>
                <c:pt idx="497">
                  <c:v>-6.1844612319028238</c:v>
                </c:pt>
                <c:pt idx="498">
                  <c:v>-6.2287852306327496</c:v>
                </c:pt>
                <c:pt idx="499">
                  <c:v>-6.2728869397412321</c:v>
                </c:pt>
                <c:pt idx="500">
                  <c:v>-6.3167636368221505</c:v>
                </c:pt>
                <c:pt idx="501">
                  <c:v>-6.3604126838992707</c:v>
                </c:pt>
                <c:pt idx="502">
                  <c:v>-6.4038315267813131</c:v>
                </c:pt>
                <c:pt idx="503">
                  <c:v>-6.4470176943963828</c:v>
                </c:pt>
                <c:pt idx="504">
                  <c:v>-6.4899687981065366</c:v>
                </c:pt>
                <c:pt idx="505">
                  <c:v>-6.5326825310032755</c:v>
                </c:pt>
                <c:pt idx="506">
                  <c:v>-6.5751566671846984</c:v>
                </c:pt>
                <c:pt idx="507">
                  <c:v>-6.6173890610151052</c:v>
                </c:pt>
                <c:pt idx="508">
                  <c:v>-6.6593776463677532</c:v>
                </c:pt>
                <c:pt idx="509">
                  <c:v>-6.7011204358515633</c:v>
                </c:pt>
                <c:pt idx="510">
                  <c:v>-6.7426155200224525</c:v>
                </c:pt>
                <c:pt idx="511">
                  <c:v>-6.7838610665800738</c:v>
                </c:pt>
                <c:pt idx="512">
                  <c:v>-6.8248553195506325</c:v>
                </c:pt>
                <c:pt idx="513">
                  <c:v>-6.8248959624667789</c:v>
                </c:pt>
                <c:pt idx="514">
                  <c:v>-6.8249366051320193</c:v>
                </c:pt>
                <c:pt idx="515">
                  <c:v>-6.8249772475463546</c:v>
                </c:pt>
                <c:pt idx="516">
                  <c:v>-6.8250178897097831</c:v>
                </c:pt>
                <c:pt idx="517">
                  <c:v>-6.8250585316223047</c:v>
                </c:pt>
                <c:pt idx="518">
                  <c:v>-6.825099173283915</c:v>
                </c:pt>
                <c:pt idx="519">
                  <c:v>-6.8251398146946158</c:v>
                </c:pt>
                <c:pt idx="520">
                  <c:v>-6.8251804558543965</c:v>
                </c:pt>
                <c:pt idx="521">
                  <c:v>-6.8252210967632703</c:v>
                </c:pt>
                <c:pt idx="522">
                  <c:v>-6.825261737421223</c:v>
                </c:pt>
                <c:pt idx="523">
                  <c:v>-6.8253023778282591</c:v>
                </c:pt>
                <c:pt idx="524">
                  <c:v>-6.8253430179843741</c:v>
                </c:pt>
                <c:pt idx="525">
                  <c:v>-6.8253836578895681</c:v>
                </c:pt>
                <c:pt idx="526">
                  <c:v>-6.8254242975438384</c:v>
                </c:pt>
                <c:pt idx="527">
                  <c:v>-6.8254649369471823</c:v>
                </c:pt>
                <c:pt idx="528">
                  <c:v>-6.825505576099606</c:v>
                </c:pt>
                <c:pt idx="529">
                  <c:v>-6.825546215001097</c:v>
                </c:pt>
                <c:pt idx="530">
                  <c:v>-6.8255868536516635</c:v>
                </c:pt>
                <c:pt idx="531">
                  <c:v>-6.825627492051292</c:v>
                </c:pt>
                <c:pt idx="532">
                  <c:v>-6.8256681301999915</c:v>
                </c:pt>
                <c:pt idx="533">
                  <c:v>-6.8257087680977584</c:v>
                </c:pt>
                <c:pt idx="534">
                  <c:v>-6.8257494057445864</c:v>
                </c:pt>
                <c:pt idx="535">
                  <c:v>-6.8257900431404792</c:v>
                </c:pt>
                <c:pt idx="536">
                  <c:v>-6.8258306802854358</c:v>
                </c:pt>
                <c:pt idx="537">
                  <c:v>-6.8258713171794447</c:v>
                </c:pt>
                <c:pt idx="538">
                  <c:v>-6.8259119538225157</c:v>
                </c:pt>
                <c:pt idx="539">
                  <c:v>-6.8259525902146452</c:v>
                </c:pt>
                <c:pt idx="540">
                  <c:v>-6.8259932263558261</c:v>
                </c:pt>
                <c:pt idx="541">
                  <c:v>-6.826033862246061</c:v>
                </c:pt>
                <c:pt idx="542">
                  <c:v>-6.8260744978853483</c:v>
                </c:pt>
                <c:pt idx="543">
                  <c:v>-6.826115133273686</c:v>
                </c:pt>
                <c:pt idx="544">
                  <c:v>-6.8261557684110716</c:v>
                </c:pt>
                <c:pt idx="545">
                  <c:v>-6.8261964032975015</c:v>
                </c:pt>
                <c:pt idx="546">
                  <c:v>-6.8262370379329766</c:v>
                </c:pt>
                <c:pt idx="547">
                  <c:v>-6.826277672317496</c:v>
                </c:pt>
                <c:pt idx="548">
                  <c:v>-6.8263183064510571</c:v>
                </c:pt>
                <c:pt idx="549">
                  <c:v>-6.8263589403336598</c:v>
                </c:pt>
                <c:pt idx="550">
                  <c:v>-6.8263995739652961</c:v>
                </c:pt>
                <c:pt idx="551">
                  <c:v>-6.8264402073459767</c:v>
                </c:pt>
                <c:pt idx="552">
                  <c:v>-6.8264808404756909</c:v>
                </c:pt>
                <c:pt idx="553">
                  <c:v>-6.8265214733544379</c:v>
                </c:pt>
                <c:pt idx="554">
                  <c:v>-6.8265621059822159</c:v>
                </c:pt>
                <c:pt idx="555">
                  <c:v>-6.826602738359024</c:v>
                </c:pt>
                <c:pt idx="556">
                  <c:v>-6.8266433704848657</c:v>
                </c:pt>
                <c:pt idx="557">
                  <c:v>-6.8266840023597304</c:v>
                </c:pt>
                <c:pt idx="558">
                  <c:v>-6.8267246339836225</c:v>
                </c:pt>
                <c:pt idx="559">
                  <c:v>-6.8267652653565394</c:v>
                </c:pt>
                <c:pt idx="560">
                  <c:v>-6.8268058964784792</c:v>
                </c:pt>
                <c:pt idx="561">
                  <c:v>-6.826846527349443</c:v>
                </c:pt>
                <c:pt idx="562">
                  <c:v>-6.8268871579694199</c:v>
                </c:pt>
                <c:pt idx="563">
                  <c:v>-6.8269277883384181</c:v>
                </c:pt>
                <c:pt idx="564">
                  <c:v>-6.8269684184564339</c:v>
                </c:pt>
                <c:pt idx="565">
                  <c:v>-6.827009048323462</c:v>
                </c:pt>
                <c:pt idx="566">
                  <c:v>-6.8270496779395051</c:v>
                </c:pt>
                <c:pt idx="567">
                  <c:v>-6.827090307304557</c:v>
                </c:pt>
                <c:pt idx="568">
                  <c:v>-6.8271309364186212</c:v>
                </c:pt>
                <c:pt idx="569">
                  <c:v>-6.827171565281696</c:v>
                </c:pt>
                <c:pt idx="570">
                  <c:v>-6.8272121938937715</c:v>
                </c:pt>
                <c:pt idx="571">
                  <c:v>-6.8272528222548559</c:v>
                </c:pt>
                <c:pt idx="572">
                  <c:v>-6.8272934503649454</c:v>
                </c:pt>
                <c:pt idx="573">
                  <c:v>-6.8273340782240339</c:v>
                </c:pt>
                <c:pt idx="574">
                  <c:v>-6.8273747058321241</c:v>
                </c:pt>
                <c:pt idx="575">
                  <c:v>-6.8274153331892125</c:v>
                </c:pt>
                <c:pt idx="576">
                  <c:v>-6.8274559602952998</c:v>
                </c:pt>
                <c:pt idx="577">
                  <c:v>-6.8274965871503817</c:v>
                </c:pt>
                <c:pt idx="578">
                  <c:v>-6.827537213754459</c:v>
                </c:pt>
                <c:pt idx="579">
                  <c:v>-6.8275778401075264</c:v>
                </c:pt>
                <c:pt idx="580">
                  <c:v>-6.8276184662095831</c:v>
                </c:pt>
                <c:pt idx="581">
                  <c:v>-6.8276590920606299</c:v>
                </c:pt>
                <c:pt idx="582">
                  <c:v>-6.8276997176606669</c:v>
                </c:pt>
                <c:pt idx="583">
                  <c:v>-6.8277403430096895</c:v>
                </c:pt>
                <c:pt idx="584">
                  <c:v>-6.8277809681076933</c:v>
                </c:pt>
                <c:pt idx="585">
                  <c:v>-6.8278215929546837</c:v>
                </c:pt>
                <c:pt idx="586">
                  <c:v>-6.8278622175506545</c:v>
                </c:pt>
                <c:pt idx="587">
                  <c:v>-6.8279028418956038</c:v>
                </c:pt>
                <c:pt idx="588">
                  <c:v>-6.8279434659895335</c:v>
                </c:pt>
                <c:pt idx="589">
                  <c:v>-6.8279840898324347</c:v>
                </c:pt>
                <c:pt idx="590">
                  <c:v>-6.8280247134243126</c:v>
                </c:pt>
                <c:pt idx="591">
                  <c:v>-6.8280653367651656</c:v>
                </c:pt>
                <c:pt idx="592">
                  <c:v>-6.8281059598549891</c:v>
                </c:pt>
                <c:pt idx="593">
                  <c:v>-6.8281465826937824</c:v>
                </c:pt>
                <c:pt idx="594">
                  <c:v>-6.8281872052815471</c:v>
                </c:pt>
                <c:pt idx="595">
                  <c:v>-6.8282278276182735</c:v>
                </c:pt>
                <c:pt idx="596">
                  <c:v>-6.8282684497039705</c:v>
                </c:pt>
                <c:pt idx="597">
                  <c:v>-6.8283090715386292</c:v>
                </c:pt>
                <c:pt idx="598">
                  <c:v>-6.8283496931222514</c:v>
                </c:pt>
                <c:pt idx="599">
                  <c:v>-6.8283903144548308</c:v>
                </c:pt>
                <c:pt idx="600">
                  <c:v>-6.8284309355363728</c:v>
                </c:pt>
                <c:pt idx="601">
                  <c:v>-6.8284715563668668</c:v>
                </c:pt>
                <c:pt idx="602">
                  <c:v>-6.8285121769463224</c:v>
                </c:pt>
                <c:pt idx="603">
                  <c:v>-6.8285527972747317</c:v>
                </c:pt>
                <c:pt idx="604">
                  <c:v>-6.8285934173520904</c:v>
                </c:pt>
                <c:pt idx="605">
                  <c:v>-6.8286340371784018</c:v>
                </c:pt>
                <c:pt idx="606">
                  <c:v>-6.8286746567536616</c:v>
                </c:pt>
                <c:pt idx="607">
                  <c:v>-6.8287152760778698</c:v>
                </c:pt>
                <c:pt idx="608">
                  <c:v>-6.8287558951510228</c:v>
                </c:pt>
                <c:pt idx="609">
                  <c:v>-6.8287965139731215</c:v>
                </c:pt>
                <c:pt idx="610">
                  <c:v>-6.8288371325441632</c:v>
                </c:pt>
                <c:pt idx="611">
                  <c:v>-6.8288777508641472</c:v>
                </c:pt>
                <c:pt idx="612">
                  <c:v>-6.8289183689330697</c:v>
                </c:pt>
                <c:pt idx="613">
                  <c:v>-6.8289589867509335</c:v>
                </c:pt>
                <c:pt idx="614">
                  <c:v>-6.8289996043177297</c:v>
                </c:pt>
                <c:pt idx="615">
                  <c:v>-6.8290402216334645</c:v>
                </c:pt>
                <c:pt idx="616">
                  <c:v>-6.8290808386981272</c:v>
                </c:pt>
                <c:pt idx="617">
                  <c:v>-6.8291214555117277</c:v>
                </c:pt>
                <c:pt idx="618">
                  <c:v>-6.8291620720742552</c:v>
                </c:pt>
                <c:pt idx="619">
                  <c:v>-6.8292026883857115</c:v>
                </c:pt>
                <c:pt idx="620">
                  <c:v>-6.8292433044460976</c:v>
                </c:pt>
                <c:pt idx="621">
                  <c:v>-6.829283920255409</c:v>
                </c:pt>
                <c:pt idx="622">
                  <c:v>-6.8293245358136403</c:v>
                </c:pt>
                <c:pt idx="623">
                  <c:v>-6.8293651511207951</c:v>
                </c:pt>
                <c:pt idx="624">
                  <c:v>-6.829405766176877</c:v>
                </c:pt>
                <c:pt idx="625">
                  <c:v>-6.82944638098187</c:v>
                </c:pt>
                <c:pt idx="626">
                  <c:v>-6.8294869955357811</c:v>
                </c:pt>
                <c:pt idx="627">
                  <c:v>-6.8295276098386086</c:v>
                </c:pt>
                <c:pt idx="628">
                  <c:v>-6.8295682238903543</c:v>
                </c:pt>
                <c:pt idx="629">
                  <c:v>-6.8296088376910093</c:v>
                </c:pt>
                <c:pt idx="630">
                  <c:v>-6.8296494512405799</c:v>
                </c:pt>
                <c:pt idx="631">
                  <c:v>-6.8296900645390552</c:v>
                </c:pt>
                <c:pt idx="632">
                  <c:v>-6.8297306775864417</c:v>
                </c:pt>
                <c:pt idx="633">
                  <c:v>-6.8297712903827348</c:v>
                </c:pt>
                <c:pt idx="634">
                  <c:v>-6.8298119029279283</c:v>
                </c:pt>
                <c:pt idx="635">
                  <c:v>-6.8298525152220293</c:v>
                </c:pt>
                <c:pt idx="636">
                  <c:v>-6.8298931272650325</c:v>
                </c:pt>
                <c:pt idx="637">
                  <c:v>-6.8299337390569326</c:v>
                </c:pt>
                <c:pt idx="638">
                  <c:v>-6.8299743505977331</c:v>
                </c:pt>
                <c:pt idx="639">
                  <c:v>-6.8300149618874277</c:v>
                </c:pt>
                <c:pt idx="640">
                  <c:v>-6.8300555729260175</c:v>
                </c:pt>
                <c:pt idx="641">
                  <c:v>-6.830096183713505</c:v>
                </c:pt>
                <c:pt idx="642">
                  <c:v>-6.8301367942498823</c:v>
                </c:pt>
                <c:pt idx="643">
                  <c:v>-6.8301774045351493</c:v>
                </c:pt>
                <c:pt idx="644">
                  <c:v>-6.8302180145693052</c:v>
                </c:pt>
                <c:pt idx="645">
                  <c:v>-6.83025862435235</c:v>
                </c:pt>
                <c:pt idx="646">
                  <c:v>-6.830299233884281</c:v>
                </c:pt>
                <c:pt idx="647">
                  <c:v>-6.8303398431650937</c:v>
                </c:pt>
                <c:pt idx="648">
                  <c:v>-6.83038045219479</c:v>
                </c:pt>
                <c:pt idx="649">
                  <c:v>-6.8304210609733689</c:v>
                </c:pt>
                <c:pt idx="650">
                  <c:v>-6.8304616695008251</c:v>
                </c:pt>
                <c:pt idx="651">
                  <c:v>-6.8305022777771596</c:v>
                </c:pt>
                <c:pt idx="652">
                  <c:v>-6.8305428858023705</c:v>
                </c:pt>
                <c:pt idx="653">
                  <c:v>-6.830583493576456</c:v>
                </c:pt>
                <c:pt idx="654">
                  <c:v>-6.8306241010994162</c:v>
                </c:pt>
                <c:pt idx="655">
                  <c:v>-6.8306647083712457</c:v>
                </c:pt>
                <c:pt idx="656">
                  <c:v>-6.8307053153919419</c:v>
                </c:pt>
                <c:pt idx="657">
                  <c:v>-6.8307459221615137</c:v>
                </c:pt>
                <c:pt idx="658">
                  <c:v>-6.8307865286799476</c:v>
                </c:pt>
                <c:pt idx="659">
                  <c:v>-6.8308271349472456</c:v>
                </c:pt>
                <c:pt idx="660">
                  <c:v>-6.8308677409634075</c:v>
                </c:pt>
                <c:pt idx="661">
                  <c:v>-6.8309083467284317</c:v>
                </c:pt>
                <c:pt idx="662">
                  <c:v>-6.8309489522423181</c:v>
                </c:pt>
                <c:pt idx="663">
                  <c:v>-6.8309895575050605</c:v>
                </c:pt>
                <c:pt idx="664">
                  <c:v>-6.8310301625166643</c:v>
                </c:pt>
                <c:pt idx="665">
                  <c:v>-6.8310707672771214</c:v>
                </c:pt>
                <c:pt idx="666">
                  <c:v>-6.8311113717864327</c:v>
                </c:pt>
                <c:pt idx="667">
                  <c:v>-6.8311519760445929</c:v>
                </c:pt>
                <c:pt idx="668">
                  <c:v>-6.8311925800516065</c:v>
                </c:pt>
                <c:pt idx="669">
                  <c:v>-6.8312331838074689</c:v>
                </c:pt>
                <c:pt idx="670">
                  <c:v>-6.8312737873121767</c:v>
                </c:pt>
                <c:pt idx="671">
                  <c:v>-6.8313143905657343</c:v>
                </c:pt>
                <c:pt idx="672">
                  <c:v>-6.8313549935681355</c:v>
                </c:pt>
                <c:pt idx="673">
                  <c:v>-6.8313955963193802</c:v>
                </c:pt>
                <c:pt idx="674">
                  <c:v>-6.8314361988194641</c:v>
                </c:pt>
                <c:pt idx="675">
                  <c:v>-6.8314768010683879</c:v>
                </c:pt>
                <c:pt idx="676">
                  <c:v>-6.8315174030661519</c:v>
                </c:pt>
                <c:pt idx="677">
                  <c:v>-6.8315580048127487</c:v>
                </c:pt>
                <c:pt idx="678">
                  <c:v>-6.8315986063081837</c:v>
                </c:pt>
                <c:pt idx="679">
                  <c:v>-6.8316392075524508</c:v>
                </c:pt>
                <c:pt idx="680">
                  <c:v>-6.831679808545549</c:v>
                </c:pt>
                <c:pt idx="681">
                  <c:v>-6.8317204092874784</c:v>
                </c:pt>
                <c:pt idx="682">
                  <c:v>-6.831761009778238</c:v>
                </c:pt>
                <c:pt idx="683">
                  <c:v>-6.831801610017818</c:v>
                </c:pt>
                <c:pt idx="684">
                  <c:v>-6.8318422100062319</c:v>
                </c:pt>
                <c:pt idx="685">
                  <c:v>-6.8318828097434636</c:v>
                </c:pt>
                <c:pt idx="686">
                  <c:v>-6.8319234092295202</c:v>
                </c:pt>
                <c:pt idx="687">
                  <c:v>-6.8319640084643956</c:v>
                </c:pt>
                <c:pt idx="688">
                  <c:v>-6.8320046074480913</c:v>
                </c:pt>
                <c:pt idx="689">
                  <c:v>-6.8320452061806023</c:v>
                </c:pt>
                <c:pt idx="690">
                  <c:v>-6.8320858046619302</c:v>
                </c:pt>
                <c:pt idx="691">
                  <c:v>-6.832126402892075</c:v>
                </c:pt>
                <c:pt idx="692">
                  <c:v>-6.8321670008710305</c:v>
                </c:pt>
                <c:pt idx="693">
                  <c:v>-6.8322075985987931</c:v>
                </c:pt>
                <c:pt idx="694">
                  <c:v>-6.8322481960753727</c:v>
                </c:pt>
                <c:pt idx="695">
                  <c:v>-6.8322887933007559</c:v>
                </c:pt>
                <c:pt idx="696">
                  <c:v>-6.8323293902749471</c:v>
                </c:pt>
                <c:pt idx="697">
                  <c:v>-6.8323699869979384</c:v>
                </c:pt>
                <c:pt idx="698">
                  <c:v>-6.8324105834697368</c:v>
                </c:pt>
                <c:pt idx="699">
                  <c:v>-6.8324511796903398</c:v>
                </c:pt>
                <c:pt idx="700">
                  <c:v>-6.8324917756597374</c:v>
                </c:pt>
                <c:pt idx="701">
                  <c:v>-6.8325323713779396</c:v>
                </c:pt>
                <c:pt idx="702">
                  <c:v>-6.832572966844932</c:v>
                </c:pt>
                <c:pt idx="703">
                  <c:v>-6.8326135620607227</c:v>
                </c:pt>
                <c:pt idx="704">
                  <c:v>-6.8326541570253019</c:v>
                </c:pt>
                <c:pt idx="705">
                  <c:v>-6.832694751738682</c:v>
                </c:pt>
                <c:pt idx="706">
                  <c:v>-6.8327353462008444</c:v>
                </c:pt>
                <c:pt idx="707">
                  <c:v>-6.8327759404118016</c:v>
                </c:pt>
                <c:pt idx="708">
                  <c:v>-6.8328165343715437</c:v>
                </c:pt>
                <c:pt idx="709">
                  <c:v>-6.8328571280800716</c:v>
                </c:pt>
                <c:pt idx="710">
                  <c:v>-6.8328977215373827</c:v>
                </c:pt>
                <c:pt idx="711">
                  <c:v>-6.8329383147434788</c:v>
                </c:pt>
                <c:pt idx="712">
                  <c:v>-6.8329789076983545</c:v>
                </c:pt>
                <c:pt idx="713">
                  <c:v>-6.833019500402008</c:v>
                </c:pt>
                <c:pt idx="714">
                  <c:v>-6.833060092854442</c:v>
                </c:pt>
                <c:pt idx="715">
                  <c:v>-6.8331006850556513</c:v>
                </c:pt>
                <c:pt idx="716">
                  <c:v>-6.8331412770056348</c:v>
                </c:pt>
                <c:pt idx="717">
                  <c:v>-6.8331818687043908</c:v>
                </c:pt>
                <c:pt idx="718">
                  <c:v>-6.8332224601519203</c:v>
                </c:pt>
                <c:pt idx="719">
                  <c:v>-6.8332630513482169</c:v>
                </c:pt>
                <c:pt idx="720">
                  <c:v>-6.8333036422932825</c:v>
                </c:pt>
                <c:pt idx="721">
                  <c:v>-6.8333442329871152</c:v>
                </c:pt>
                <c:pt idx="722">
                  <c:v>-6.8333848234297099</c:v>
                </c:pt>
                <c:pt idx="723">
                  <c:v>-6.8334254136210735</c:v>
                </c:pt>
                <c:pt idx="724">
                  <c:v>-6.8334660035611954</c:v>
                </c:pt>
                <c:pt idx="725">
                  <c:v>-6.83350659325008</c:v>
                </c:pt>
                <c:pt idx="726">
                  <c:v>-6.8335471826877212</c:v>
                </c:pt>
                <c:pt idx="727">
                  <c:v>-6.8335877718741225</c:v>
                </c:pt>
                <c:pt idx="728">
                  <c:v>-6.8336283608092767</c:v>
                </c:pt>
                <c:pt idx="729">
                  <c:v>-6.833668949493183</c:v>
                </c:pt>
                <c:pt idx="730">
                  <c:v>-6.833709537925845</c:v>
                </c:pt>
                <c:pt idx="731">
                  <c:v>-6.8337501261072582</c:v>
                </c:pt>
                <c:pt idx="732">
                  <c:v>-6.8337907140374208</c:v>
                </c:pt>
                <c:pt idx="733">
                  <c:v>-6.8338313017163284</c:v>
                </c:pt>
                <c:pt idx="734">
                  <c:v>-6.8338718891439862</c:v>
                </c:pt>
                <c:pt idx="735">
                  <c:v>-6.8339124763203873</c:v>
                </c:pt>
                <c:pt idx="736">
                  <c:v>-6.8339530632455272</c:v>
                </c:pt>
                <c:pt idx="737">
                  <c:v>-6.8339936499194103</c:v>
                </c:pt>
                <c:pt idx="738">
                  <c:v>-6.8340342363420357</c:v>
                </c:pt>
                <c:pt idx="739">
                  <c:v>-6.834074822513398</c:v>
                </c:pt>
                <c:pt idx="740">
                  <c:v>-6.8341154084334965</c:v>
                </c:pt>
                <c:pt idx="741">
                  <c:v>-6.8341559941023284</c:v>
                </c:pt>
                <c:pt idx="742">
                  <c:v>-6.8341965795198947</c:v>
                </c:pt>
                <c:pt idx="743">
                  <c:v>-6.8342371646861944</c:v>
                </c:pt>
                <c:pt idx="744">
                  <c:v>-6.834277749601223</c:v>
                </c:pt>
                <c:pt idx="745">
                  <c:v>-6.8343183342649816</c:v>
                </c:pt>
                <c:pt idx="746">
                  <c:v>-6.8343589186774683</c:v>
                </c:pt>
                <c:pt idx="747">
                  <c:v>-6.8343995028386768</c:v>
                </c:pt>
                <c:pt idx="748">
                  <c:v>-6.8344400867486099</c:v>
                </c:pt>
                <c:pt idx="749">
                  <c:v>-6.8344806704072667</c:v>
                </c:pt>
                <c:pt idx="750">
                  <c:v>-6.8345212538146463</c:v>
                </c:pt>
                <c:pt idx="751">
                  <c:v>-6.8345618369707424</c:v>
                </c:pt>
                <c:pt idx="752">
                  <c:v>-6.8346024198755559</c:v>
                </c:pt>
                <c:pt idx="753">
                  <c:v>-6.8346430025290861</c:v>
                </c:pt>
                <c:pt idx="754">
                  <c:v>-6.8346835849313319</c:v>
                </c:pt>
                <c:pt idx="755">
                  <c:v>-6.8347241670822898</c:v>
                </c:pt>
                <c:pt idx="756">
                  <c:v>-6.8347647489819581</c:v>
                </c:pt>
                <c:pt idx="757">
                  <c:v>-6.8348053306303349</c:v>
                </c:pt>
                <c:pt idx="758">
                  <c:v>-6.8348459120274221</c:v>
                </c:pt>
                <c:pt idx="759">
                  <c:v>-6.8348864931732161</c:v>
                </c:pt>
                <c:pt idx="760">
                  <c:v>-6.8349270740677124</c:v>
                </c:pt>
                <c:pt idx="761">
                  <c:v>-6.8349676547109128</c:v>
                </c:pt>
                <c:pt idx="762">
                  <c:v>-6.8350082351028165</c:v>
                </c:pt>
                <c:pt idx="763">
                  <c:v>-6.8350488152434208</c:v>
                </c:pt>
                <c:pt idx="764">
                  <c:v>-6.8350893951327221</c:v>
                </c:pt>
                <c:pt idx="765">
                  <c:v>-6.8351299747707221</c:v>
                </c:pt>
                <c:pt idx="766">
                  <c:v>-6.8351705541574157</c:v>
                </c:pt>
                <c:pt idx="767">
                  <c:v>-6.8352111332928054</c:v>
                </c:pt>
                <c:pt idx="768">
                  <c:v>-6.835251712176885</c:v>
                </c:pt>
                <c:pt idx="769">
                  <c:v>-6.8352922908096572</c:v>
                </c:pt>
                <c:pt idx="770">
                  <c:v>-6.8353328691911166</c:v>
                </c:pt>
                <c:pt idx="771">
                  <c:v>-6.8353734473212642</c:v>
                </c:pt>
                <c:pt idx="772">
                  <c:v>-6.8354140252000999</c:v>
                </c:pt>
                <c:pt idx="773">
                  <c:v>-6.8354546028276175</c:v>
                </c:pt>
                <c:pt idx="774">
                  <c:v>-6.8354951802038153</c:v>
                </c:pt>
                <c:pt idx="775">
                  <c:v>-6.8355357573287003</c:v>
                </c:pt>
                <c:pt idx="776">
                  <c:v>-6.8355763342022628</c:v>
                </c:pt>
                <c:pt idx="777">
                  <c:v>-6.8356169108245028</c:v>
                </c:pt>
                <c:pt idx="778">
                  <c:v>-6.8356574871954194</c:v>
                </c:pt>
                <c:pt idx="779">
                  <c:v>-6.8356980633150091</c:v>
                </c:pt>
                <c:pt idx="780">
                  <c:v>-6.835738639183278</c:v>
                </c:pt>
                <c:pt idx="781">
                  <c:v>-6.8357792148002092</c:v>
                </c:pt>
                <c:pt idx="782">
                  <c:v>-6.8358197901658189</c:v>
                </c:pt>
                <c:pt idx="783">
                  <c:v>-6.8358603652800918</c:v>
                </c:pt>
                <c:pt idx="784">
                  <c:v>-6.8359009401430368</c:v>
                </c:pt>
                <c:pt idx="785">
                  <c:v>-6.8359415147546443</c:v>
                </c:pt>
                <c:pt idx="786">
                  <c:v>-6.8359820891149168</c:v>
                </c:pt>
                <c:pt idx="787">
                  <c:v>-6.8360226632238499</c:v>
                </c:pt>
                <c:pt idx="788">
                  <c:v>-6.8360632370814436</c:v>
                </c:pt>
                <c:pt idx="789">
                  <c:v>-6.8361038106876961</c:v>
                </c:pt>
                <c:pt idx="790">
                  <c:v>-6.8361443840426084</c:v>
                </c:pt>
                <c:pt idx="791">
                  <c:v>-6.8361849571461759</c:v>
                </c:pt>
                <c:pt idx="792">
                  <c:v>-6.8362255299983987</c:v>
                </c:pt>
                <c:pt idx="793">
                  <c:v>-6.8362661025992715</c:v>
                </c:pt>
                <c:pt idx="794">
                  <c:v>-6.8363066749487968</c:v>
                </c:pt>
                <c:pt idx="795">
                  <c:v>-6.8363472470469713</c:v>
                </c:pt>
                <c:pt idx="796">
                  <c:v>-6.8363878188937939</c:v>
                </c:pt>
                <c:pt idx="797">
                  <c:v>-6.8364283904892593</c:v>
                </c:pt>
                <c:pt idx="798">
                  <c:v>-6.8364689618333765</c:v>
                </c:pt>
                <c:pt idx="799">
                  <c:v>-6.8365095329261365</c:v>
                </c:pt>
                <c:pt idx="800">
                  <c:v>-6.8365501037675358</c:v>
                </c:pt>
                <c:pt idx="801">
                  <c:v>-6.8365906743575753</c:v>
                </c:pt>
                <c:pt idx="802">
                  <c:v>-6.8366312446962541</c:v>
                </c:pt>
                <c:pt idx="803">
                  <c:v>-6.8366718147835703</c:v>
                </c:pt>
                <c:pt idx="804">
                  <c:v>-6.8367123846195206</c:v>
                </c:pt>
                <c:pt idx="805">
                  <c:v>-6.8367529542041066</c:v>
                </c:pt>
                <c:pt idx="806">
                  <c:v>-6.8367935235373203</c:v>
                </c:pt>
                <c:pt idx="807">
                  <c:v>-6.836834092619168</c:v>
                </c:pt>
                <c:pt idx="808">
                  <c:v>-6.8368746614496443</c:v>
                </c:pt>
                <c:pt idx="809">
                  <c:v>-6.8369152300287475</c:v>
                </c:pt>
                <c:pt idx="810">
                  <c:v>-6.8369557983564775</c:v>
                </c:pt>
                <c:pt idx="811">
                  <c:v>-6.8369963664328353</c:v>
                </c:pt>
                <c:pt idx="812">
                  <c:v>-6.837036934257811</c:v>
                </c:pt>
                <c:pt idx="813">
                  <c:v>-6.8370775018314101</c:v>
                </c:pt>
                <c:pt idx="814">
                  <c:v>-6.8371180691536289</c:v>
                </c:pt>
                <c:pt idx="815">
                  <c:v>-6.8371586362244621</c:v>
                </c:pt>
                <c:pt idx="816">
                  <c:v>-6.837199203043915</c:v>
                </c:pt>
                <c:pt idx="817">
                  <c:v>-6.8372397696119833</c:v>
                </c:pt>
                <c:pt idx="818">
                  <c:v>-6.8372803359286669</c:v>
                </c:pt>
                <c:pt idx="819">
                  <c:v>-6.8373209019939623</c:v>
                </c:pt>
                <c:pt idx="820">
                  <c:v>-6.8373614678078622</c:v>
                </c:pt>
                <c:pt idx="821">
                  <c:v>-6.8374020333703731</c:v>
                </c:pt>
                <c:pt idx="822">
                  <c:v>-6.8374425986814922</c:v>
                </c:pt>
                <c:pt idx="823">
                  <c:v>-6.837483163741215</c:v>
                </c:pt>
                <c:pt idx="824">
                  <c:v>-6.8375237285495407</c:v>
                </c:pt>
                <c:pt idx="825">
                  <c:v>-6.8375642931064711</c:v>
                </c:pt>
                <c:pt idx="826">
                  <c:v>-6.8376048574120007</c:v>
                </c:pt>
                <c:pt idx="827">
                  <c:v>-6.8376454214661342</c:v>
                </c:pt>
                <c:pt idx="828">
                  <c:v>-6.8376859852688607</c:v>
                </c:pt>
                <c:pt idx="829">
                  <c:v>-6.837726548820183</c:v>
                </c:pt>
                <c:pt idx="830">
                  <c:v>-6.837767112120102</c:v>
                </c:pt>
                <c:pt idx="831">
                  <c:v>-6.8378076751686114</c:v>
                </c:pt>
                <c:pt idx="832">
                  <c:v>-6.8378482379657122</c:v>
                </c:pt>
                <c:pt idx="833">
                  <c:v>-6.8378888005114051</c:v>
                </c:pt>
                <c:pt idx="834">
                  <c:v>-6.837929362805685</c:v>
                </c:pt>
                <c:pt idx="835">
                  <c:v>-6.8379699248485553</c:v>
                </c:pt>
                <c:pt idx="836">
                  <c:v>-6.8380104866400018</c:v>
                </c:pt>
                <c:pt idx="837">
                  <c:v>-6.8380510481800378</c:v>
                </c:pt>
                <c:pt idx="838">
                  <c:v>-6.8380916094686519</c:v>
                </c:pt>
                <c:pt idx="839">
                  <c:v>-6.8381321705058511</c:v>
                </c:pt>
                <c:pt idx="840">
                  <c:v>-6.8381727312916265</c:v>
                </c:pt>
                <c:pt idx="841">
                  <c:v>-6.8382132918259755</c:v>
                </c:pt>
                <c:pt idx="842">
                  <c:v>-6.8382538521089051</c:v>
                </c:pt>
                <c:pt idx="843">
                  <c:v>-6.8382944121404066</c:v>
                </c:pt>
                <c:pt idx="844">
                  <c:v>-6.8383349719204807</c:v>
                </c:pt>
                <c:pt idx="845">
                  <c:v>-6.8383755314491248</c:v>
                </c:pt>
                <c:pt idx="846">
                  <c:v>-6.8384160907263398</c:v>
                </c:pt>
                <c:pt idx="847">
                  <c:v>-6.8384566497521186</c:v>
                </c:pt>
                <c:pt idx="848">
                  <c:v>-6.8384972085264684</c:v>
                </c:pt>
                <c:pt idx="849">
                  <c:v>-6.8385377670493792</c:v>
                </c:pt>
                <c:pt idx="850">
                  <c:v>-6.8385783253208574</c:v>
                </c:pt>
                <c:pt idx="851">
                  <c:v>-6.8386188833408941</c:v>
                </c:pt>
                <c:pt idx="852">
                  <c:v>-6.838659441109491</c:v>
                </c:pt>
                <c:pt idx="853">
                  <c:v>-6.8386999986266437</c:v>
                </c:pt>
                <c:pt idx="854">
                  <c:v>-6.8387405558923531</c:v>
                </c:pt>
                <c:pt idx="855">
                  <c:v>-6.8387811129066156</c:v>
                </c:pt>
                <c:pt idx="856">
                  <c:v>-6.8388216696694339</c:v>
                </c:pt>
                <c:pt idx="857">
                  <c:v>-6.8388622261808045</c:v>
                </c:pt>
                <c:pt idx="858">
                  <c:v>-6.8389027824407274</c:v>
                </c:pt>
                <c:pt idx="859">
                  <c:v>-6.8389433384491971</c:v>
                </c:pt>
                <c:pt idx="860">
                  <c:v>-6.8389838942062173</c:v>
                </c:pt>
                <c:pt idx="861">
                  <c:v>-6.8390244497117747</c:v>
                </c:pt>
                <c:pt idx="862">
                  <c:v>-6.8390650049658834</c:v>
                </c:pt>
                <c:pt idx="863">
                  <c:v>-6.839105559968532</c:v>
                </c:pt>
                <c:pt idx="864">
                  <c:v>-6.8391461147197212</c:v>
                </c:pt>
                <c:pt idx="865">
                  <c:v>-6.8391866692194512</c:v>
                </c:pt>
                <c:pt idx="866">
                  <c:v>-6.8392272234677183</c:v>
                </c:pt>
                <c:pt idx="867">
                  <c:v>-6.8392677774645207</c:v>
                </c:pt>
                <c:pt idx="868">
                  <c:v>-6.8393083312098604</c:v>
                </c:pt>
                <c:pt idx="869">
                  <c:v>-6.8393488847037291</c:v>
                </c:pt>
                <c:pt idx="870">
                  <c:v>-6.8393894379461315</c:v>
                </c:pt>
                <c:pt idx="871">
                  <c:v>-6.8394299909370648</c:v>
                </c:pt>
                <c:pt idx="872">
                  <c:v>-6.8394705436765237</c:v>
                </c:pt>
                <c:pt idx="873">
                  <c:v>-6.8395110961645109</c:v>
                </c:pt>
                <c:pt idx="874">
                  <c:v>-6.839551648401021</c:v>
                </c:pt>
                <c:pt idx="875">
                  <c:v>-6.8395922003860585</c:v>
                </c:pt>
                <c:pt idx="876">
                  <c:v>-6.8396327521196145</c:v>
                </c:pt>
                <c:pt idx="877">
                  <c:v>-6.8396733036016926</c:v>
                </c:pt>
                <c:pt idx="878">
                  <c:v>-6.8397138548322891</c:v>
                </c:pt>
                <c:pt idx="879">
                  <c:v>-6.8397544058114041</c:v>
                </c:pt>
                <c:pt idx="880">
                  <c:v>-6.8397949565390297</c:v>
                </c:pt>
                <c:pt idx="881">
                  <c:v>-6.8398355070151737</c:v>
                </c:pt>
                <c:pt idx="882">
                  <c:v>-6.8398760572398301</c:v>
                </c:pt>
                <c:pt idx="883">
                  <c:v>-6.8399166072130004</c:v>
                </c:pt>
                <c:pt idx="884">
                  <c:v>-6.8399571569346769</c:v>
                </c:pt>
                <c:pt idx="885">
                  <c:v>-6.8399977064048612</c:v>
                </c:pt>
                <c:pt idx="886">
                  <c:v>-6.8400382556235497</c:v>
                </c:pt>
                <c:pt idx="887">
                  <c:v>-6.8400788045907444</c:v>
                </c:pt>
                <c:pt idx="888">
                  <c:v>-6.8401193533064424</c:v>
                </c:pt>
                <c:pt idx="889">
                  <c:v>-6.8401599017706438</c:v>
                </c:pt>
                <c:pt idx="890">
                  <c:v>-6.8402004499833433</c:v>
                </c:pt>
                <c:pt idx="891">
                  <c:v>-6.8402409979445427</c:v>
                </c:pt>
                <c:pt idx="892">
                  <c:v>-6.8402815456542347</c:v>
                </c:pt>
                <c:pt idx="893">
                  <c:v>-6.8403220931124258</c:v>
                </c:pt>
                <c:pt idx="894">
                  <c:v>-6.8403626403191096</c:v>
                </c:pt>
                <c:pt idx="895">
                  <c:v>-6.8404031872742852</c:v>
                </c:pt>
                <c:pt idx="896">
                  <c:v>-6.84044373397795</c:v>
                </c:pt>
                <c:pt idx="897">
                  <c:v>-6.8404842804301058</c:v>
                </c:pt>
                <c:pt idx="898">
                  <c:v>-6.8405248266307517</c:v>
                </c:pt>
                <c:pt idx="899">
                  <c:v>-6.8405653725798814</c:v>
                </c:pt>
                <c:pt idx="900">
                  <c:v>-6.8406059182774905</c:v>
                </c:pt>
                <c:pt idx="901">
                  <c:v>-6.8406464637235862</c:v>
                </c:pt>
                <c:pt idx="902">
                  <c:v>-6.8406870089181622</c:v>
                </c:pt>
                <c:pt idx="903">
                  <c:v>-6.8407275538612193</c:v>
                </c:pt>
                <c:pt idx="904">
                  <c:v>-6.8407680985527524</c:v>
                </c:pt>
                <c:pt idx="905">
                  <c:v>-6.8408086429927621</c:v>
                </c:pt>
                <c:pt idx="906">
                  <c:v>-6.8408491871812469</c:v>
                </c:pt>
                <c:pt idx="907">
                  <c:v>-6.8408897311182049</c:v>
                </c:pt>
                <c:pt idx="908">
                  <c:v>-6.8409302748036351</c:v>
                </c:pt>
                <c:pt idx="909">
                  <c:v>-6.8409708182375333</c:v>
                </c:pt>
                <c:pt idx="910">
                  <c:v>-6.8410113614199028</c:v>
                </c:pt>
                <c:pt idx="911">
                  <c:v>-6.8410519043507385</c:v>
                </c:pt>
                <c:pt idx="912">
                  <c:v>-6.8410924470300394</c:v>
                </c:pt>
                <c:pt idx="913">
                  <c:v>-6.8411329894578055</c:v>
                </c:pt>
                <c:pt idx="914">
                  <c:v>-6.8411735316340279</c:v>
                </c:pt>
                <c:pt idx="915">
                  <c:v>-6.841214073558719</c:v>
                </c:pt>
                <c:pt idx="916">
                  <c:v>-6.8412546152318647</c:v>
                </c:pt>
                <c:pt idx="917">
                  <c:v>-6.8412951566534712</c:v>
                </c:pt>
                <c:pt idx="918">
                  <c:v>-6.8413356978235287</c:v>
                </c:pt>
                <c:pt idx="919">
                  <c:v>-6.8413762387420425</c:v>
                </c:pt>
                <c:pt idx="920">
                  <c:v>-6.8414167794090126</c:v>
                </c:pt>
                <c:pt idx="921">
                  <c:v>-6.8414573198244319</c:v>
                </c:pt>
                <c:pt idx="922">
                  <c:v>-6.8414978599882996</c:v>
                </c:pt>
                <c:pt idx="923">
                  <c:v>-6.8415383999006174</c:v>
                </c:pt>
                <c:pt idx="924">
                  <c:v>-6.8415789395613791</c:v>
                </c:pt>
                <c:pt idx="925">
                  <c:v>-6.8416194789705882</c:v>
                </c:pt>
                <c:pt idx="926">
                  <c:v>-6.8416600181282394</c:v>
                </c:pt>
                <c:pt idx="927">
                  <c:v>-6.8417005570343328</c:v>
                </c:pt>
                <c:pt idx="928">
                  <c:v>-6.8417410956888665</c:v>
                </c:pt>
                <c:pt idx="929">
                  <c:v>-6.8417816340918387</c:v>
                </c:pt>
                <c:pt idx="930">
                  <c:v>-6.8418221722432468</c:v>
                </c:pt>
                <c:pt idx="931">
                  <c:v>-6.8418627101430909</c:v>
                </c:pt>
                <c:pt idx="932">
                  <c:v>-6.8419032477913699</c:v>
                </c:pt>
                <c:pt idx="933">
                  <c:v>-6.8419437851880796</c:v>
                </c:pt>
                <c:pt idx="934">
                  <c:v>-6.8419843223332233</c:v>
                </c:pt>
                <c:pt idx="935">
                  <c:v>-6.842024859226794</c:v>
                </c:pt>
                <c:pt idx="936">
                  <c:v>-6.8420653958687927</c:v>
                </c:pt>
                <c:pt idx="937">
                  <c:v>-6.8421059322592201</c:v>
                </c:pt>
                <c:pt idx="938">
                  <c:v>-6.8421464683980666</c:v>
                </c:pt>
                <c:pt idx="939">
                  <c:v>-6.8421870042853401</c:v>
                </c:pt>
                <c:pt idx="940">
                  <c:v>-6.8422275399210353</c:v>
                </c:pt>
                <c:pt idx="941">
                  <c:v>-6.8422680753051521</c:v>
                </c:pt>
                <c:pt idx="942">
                  <c:v>-6.8423086104376836</c:v>
                </c:pt>
                <c:pt idx="943">
                  <c:v>-6.8423491453186314</c:v>
                </c:pt>
                <c:pt idx="944">
                  <c:v>-6.8423896799479946</c:v>
                </c:pt>
                <c:pt idx="945">
                  <c:v>-6.8424302143257707</c:v>
                </c:pt>
                <c:pt idx="946">
                  <c:v>-6.8424707484519622</c:v>
                </c:pt>
                <c:pt idx="947">
                  <c:v>-6.842511282326563</c:v>
                </c:pt>
                <c:pt idx="948">
                  <c:v>-6.8425518159495731</c:v>
                </c:pt>
                <c:pt idx="949">
                  <c:v>-6.842592349320987</c:v>
                </c:pt>
                <c:pt idx="950">
                  <c:v>-6.842632882440812</c:v>
                </c:pt>
                <c:pt idx="951">
                  <c:v>-6.8426734153090383</c:v>
                </c:pt>
                <c:pt idx="952">
                  <c:v>-6.8427139479256676</c:v>
                </c:pt>
                <c:pt idx="953">
                  <c:v>-6.8427544802906972</c:v>
                </c:pt>
                <c:pt idx="954">
                  <c:v>-6.8427950124041237</c:v>
                </c:pt>
                <c:pt idx="955">
                  <c:v>-6.8428355442659523</c:v>
                </c:pt>
                <c:pt idx="956">
                  <c:v>-6.8428760758761786</c:v>
                </c:pt>
                <c:pt idx="957">
                  <c:v>-6.8429166072347964</c:v>
                </c:pt>
                <c:pt idx="958">
                  <c:v>-6.8429571383418084</c:v>
                </c:pt>
                <c:pt idx="959">
                  <c:v>-6.842997669197211</c:v>
                </c:pt>
                <c:pt idx="960">
                  <c:v>-6.8430381998010059</c:v>
                </c:pt>
                <c:pt idx="961">
                  <c:v>-6.8430787301531852</c:v>
                </c:pt>
                <c:pt idx="962">
                  <c:v>-6.8431192602537569</c:v>
                </c:pt>
                <c:pt idx="963">
                  <c:v>-6.8431597901027104</c:v>
                </c:pt>
                <c:pt idx="964">
                  <c:v>-6.8432003197000491</c:v>
                </c:pt>
                <c:pt idx="965">
                  <c:v>-6.8432408490457703</c:v>
                </c:pt>
                <c:pt idx="966">
                  <c:v>-6.8432813781398725</c:v>
                </c:pt>
                <c:pt idx="967">
                  <c:v>-6.8433219069823528</c:v>
                </c:pt>
                <c:pt idx="968">
                  <c:v>-6.8433624355732094</c:v>
                </c:pt>
                <c:pt idx="969">
                  <c:v>-6.8434029639124461</c:v>
                </c:pt>
                <c:pt idx="970">
                  <c:v>-6.8434434920000529</c:v>
                </c:pt>
                <c:pt idx="971">
                  <c:v>-6.8434840198360343</c:v>
                </c:pt>
                <c:pt idx="972">
                  <c:v>-6.8435245474203832</c:v>
                </c:pt>
                <c:pt idx="973">
                  <c:v>-6.843565074753104</c:v>
                </c:pt>
                <c:pt idx="974">
                  <c:v>-6.8436056018341977</c:v>
                </c:pt>
                <c:pt idx="975">
                  <c:v>-6.8436461286636563</c:v>
                </c:pt>
                <c:pt idx="976">
                  <c:v>-6.843686655241477</c:v>
                </c:pt>
                <c:pt idx="977">
                  <c:v>-6.8437271815676617</c:v>
                </c:pt>
                <c:pt idx="978">
                  <c:v>-6.8437677076422077</c:v>
                </c:pt>
                <c:pt idx="979">
                  <c:v>-6.8438082334651167</c:v>
                </c:pt>
                <c:pt idx="980">
                  <c:v>-6.8438487590363808</c:v>
                </c:pt>
                <c:pt idx="981">
                  <c:v>-6.8438892843560035</c:v>
                </c:pt>
                <c:pt idx="982">
                  <c:v>-6.8439298094239831</c:v>
                </c:pt>
                <c:pt idx="983">
                  <c:v>-6.8439703342403186</c:v>
                </c:pt>
                <c:pt idx="984">
                  <c:v>-6.8440108588050004</c:v>
                </c:pt>
                <c:pt idx="985">
                  <c:v>-6.8440513831180363</c:v>
                </c:pt>
                <c:pt idx="986">
                  <c:v>-6.8440919071794228</c:v>
                </c:pt>
                <c:pt idx="987">
                  <c:v>-6.8441324309891547</c:v>
                </c:pt>
                <c:pt idx="988">
                  <c:v>-6.8441729545472345</c:v>
                </c:pt>
                <c:pt idx="989">
                  <c:v>-6.8442134778536614</c:v>
                </c:pt>
                <c:pt idx="990">
                  <c:v>-6.8442540009084274</c:v>
                </c:pt>
                <c:pt idx="991">
                  <c:v>-6.844294523711536</c:v>
                </c:pt>
                <c:pt idx="992">
                  <c:v>-6.8443350462629846</c:v>
                </c:pt>
                <c:pt idx="993">
                  <c:v>-6.844375568562775</c:v>
                </c:pt>
                <c:pt idx="994">
                  <c:v>-6.8444160906108946</c:v>
                </c:pt>
                <c:pt idx="995">
                  <c:v>-6.844456612407356</c:v>
                </c:pt>
                <c:pt idx="996">
                  <c:v>-6.8444971339521494</c:v>
                </c:pt>
                <c:pt idx="997">
                  <c:v>-6.844537655245273</c:v>
                </c:pt>
                <c:pt idx="998">
                  <c:v>-6.8445781762867304</c:v>
                </c:pt>
                <c:pt idx="999">
                  <c:v>-6.8446186970765162</c:v>
                </c:pt>
                <c:pt idx="1000">
                  <c:v>-6.844659217614625</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33.100100000000204</c:v>
                </c:pt>
                <c:pt idx="513">
                  <c:v>33.100200000000207</c:v>
                </c:pt>
                <c:pt idx="514">
                  <c:v>33.10030000000021</c:v>
                </c:pt>
                <c:pt idx="515">
                  <c:v>33.100400000000214</c:v>
                </c:pt>
                <c:pt idx="516">
                  <c:v>33.100500000000217</c:v>
                </c:pt>
                <c:pt idx="517">
                  <c:v>33.10060000000022</c:v>
                </c:pt>
                <c:pt idx="518">
                  <c:v>33.100700000000224</c:v>
                </c:pt>
                <c:pt idx="519">
                  <c:v>33.100800000000227</c:v>
                </c:pt>
                <c:pt idx="520">
                  <c:v>33.10090000000023</c:v>
                </c:pt>
                <c:pt idx="521">
                  <c:v>33.101000000000234</c:v>
                </c:pt>
                <c:pt idx="522">
                  <c:v>33.101100000000237</c:v>
                </c:pt>
                <c:pt idx="523">
                  <c:v>33.10120000000024</c:v>
                </c:pt>
                <c:pt idx="524">
                  <c:v>33.101300000000244</c:v>
                </c:pt>
                <c:pt idx="525">
                  <c:v>33.101400000000247</c:v>
                </c:pt>
                <c:pt idx="526">
                  <c:v>33.10150000000025</c:v>
                </c:pt>
                <c:pt idx="527">
                  <c:v>33.101600000000253</c:v>
                </c:pt>
                <c:pt idx="528">
                  <c:v>33.101700000000257</c:v>
                </c:pt>
                <c:pt idx="529">
                  <c:v>33.10180000000026</c:v>
                </c:pt>
                <c:pt idx="530">
                  <c:v>33.101900000000263</c:v>
                </c:pt>
                <c:pt idx="531">
                  <c:v>33.102000000000267</c:v>
                </c:pt>
                <c:pt idx="532">
                  <c:v>33.10210000000027</c:v>
                </c:pt>
                <c:pt idx="533">
                  <c:v>33.102200000000273</c:v>
                </c:pt>
                <c:pt idx="534">
                  <c:v>33.102300000000277</c:v>
                </c:pt>
                <c:pt idx="535">
                  <c:v>33.10240000000028</c:v>
                </c:pt>
                <c:pt idx="536">
                  <c:v>33.102500000000283</c:v>
                </c:pt>
                <c:pt idx="537">
                  <c:v>33.102600000000287</c:v>
                </c:pt>
                <c:pt idx="538">
                  <c:v>33.10270000000029</c:v>
                </c:pt>
                <c:pt idx="539">
                  <c:v>33.102800000000293</c:v>
                </c:pt>
                <c:pt idx="540">
                  <c:v>33.102900000000297</c:v>
                </c:pt>
                <c:pt idx="541">
                  <c:v>33.1030000000003</c:v>
                </c:pt>
                <c:pt idx="542">
                  <c:v>33.103100000000303</c:v>
                </c:pt>
                <c:pt idx="543">
                  <c:v>33.103200000000307</c:v>
                </c:pt>
                <c:pt idx="544">
                  <c:v>33.10330000000031</c:v>
                </c:pt>
                <c:pt idx="545">
                  <c:v>33.103400000000313</c:v>
                </c:pt>
                <c:pt idx="546">
                  <c:v>33.103500000000317</c:v>
                </c:pt>
                <c:pt idx="547">
                  <c:v>33.10360000000032</c:v>
                </c:pt>
                <c:pt idx="548">
                  <c:v>33.103700000000323</c:v>
                </c:pt>
                <c:pt idx="549">
                  <c:v>33.103800000000327</c:v>
                </c:pt>
                <c:pt idx="550">
                  <c:v>33.10390000000033</c:v>
                </c:pt>
                <c:pt idx="551">
                  <c:v>33.104000000000333</c:v>
                </c:pt>
                <c:pt idx="552">
                  <c:v>33.104100000000336</c:v>
                </c:pt>
                <c:pt idx="553">
                  <c:v>33.10420000000034</c:v>
                </c:pt>
                <c:pt idx="554">
                  <c:v>33.104300000000343</c:v>
                </c:pt>
                <c:pt idx="555">
                  <c:v>33.104400000000346</c:v>
                </c:pt>
                <c:pt idx="556">
                  <c:v>33.10450000000035</c:v>
                </c:pt>
                <c:pt idx="557">
                  <c:v>33.104600000000353</c:v>
                </c:pt>
                <c:pt idx="558">
                  <c:v>33.104700000000356</c:v>
                </c:pt>
                <c:pt idx="559">
                  <c:v>33.10480000000036</c:v>
                </c:pt>
                <c:pt idx="560">
                  <c:v>33.104900000000363</c:v>
                </c:pt>
                <c:pt idx="561">
                  <c:v>33.105000000000366</c:v>
                </c:pt>
                <c:pt idx="562">
                  <c:v>33.10510000000037</c:v>
                </c:pt>
                <c:pt idx="563">
                  <c:v>33.105200000000373</c:v>
                </c:pt>
                <c:pt idx="564">
                  <c:v>33.105300000000376</c:v>
                </c:pt>
                <c:pt idx="565">
                  <c:v>33.10540000000038</c:v>
                </c:pt>
                <c:pt idx="566">
                  <c:v>33.105500000000383</c:v>
                </c:pt>
                <c:pt idx="567">
                  <c:v>33.105600000000386</c:v>
                </c:pt>
                <c:pt idx="568">
                  <c:v>33.10570000000039</c:v>
                </c:pt>
                <c:pt idx="569">
                  <c:v>33.105800000000393</c:v>
                </c:pt>
                <c:pt idx="570">
                  <c:v>33.105900000000396</c:v>
                </c:pt>
                <c:pt idx="571">
                  <c:v>33.1060000000004</c:v>
                </c:pt>
                <c:pt idx="572">
                  <c:v>33.106100000000403</c:v>
                </c:pt>
                <c:pt idx="573">
                  <c:v>33.106200000000406</c:v>
                </c:pt>
                <c:pt idx="574">
                  <c:v>33.10630000000041</c:v>
                </c:pt>
                <c:pt idx="575">
                  <c:v>33.106400000000413</c:v>
                </c:pt>
                <c:pt idx="576">
                  <c:v>33.106500000000416</c:v>
                </c:pt>
                <c:pt idx="577">
                  <c:v>33.106600000000419</c:v>
                </c:pt>
                <c:pt idx="578">
                  <c:v>33.106700000000423</c:v>
                </c:pt>
                <c:pt idx="579">
                  <c:v>33.106800000000426</c:v>
                </c:pt>
                <c:pt idx="580">
                  <c:v>33.106900000000429</c:v>
                </c:pt>
                <c:pt idx="581">
                  <c:v>33.107000000000433</c:v>
                </c:pt>
                <c:pt idx="582">
                  <c:v>33.107100000000436</c:v>
                </c:pt>
                <c:pt idx="583">
                  <c:v>33.107200000000439</c:v>
                </c:pt>
                <c:pt idx="584">
                  <c:v>33.107300000000443</c:v>
                </c:pt>
                <c:pt idx="585">
                  <c:v>33.107400000000446</c:v>
                </c:pt>
                <c:pt idx="586">
                  <c:v>33.107500000000449</c:v>
                </c:pt>
                <c:pt idx="587">
                  <c:v>33.107600000000453</c:v>
                </c:pt>
                <c:pt idx="588">
                  <c:v>33.107700000000456</c:v>
                </c:pt>
                <c:pt idx="589">
                  <c:v>33.107800000000459</c:v>
                </c:pt>
                <c:pt idx="590">
                  <c:v>33.107900000000463</c:v>
                </c:pt>
                <c:pt idx="591">
                  <c:v>33.108000000000466</c:v>
                </c:pt>
                <c:pt idx="592">
                  <c:v>33.108100000000469</c:v>
                </c:pt>
                <c:pt idx="593">
                  <c:v>33.108200000000473</c:v>
                </c:pt>
                <c:pt idx="594">
                  <c:v>33.108300000000476</c:v>
                </c:pt>
                <c:pt idx="595">
                  <c:v>33.108400000000479</c:v>
                </c:pt>
                <c:pt idx="596">
                  <c:v>33.108500000000483</c:v>
                </c:pt>
                <c:pt idx="597">
                  <c:v>33.108600000000486</c:v>
                </c:pt>
                <c:pt idx="598">
                  <c:v>33.108700000000489</c:v>
                </c:pt>
                <c:pt idx="599">
                  <c:v>33.108800000000493</c:v>
                </c:pt>
                <c:pt idx="600">
                  <c:v>33.108900000000496</c:v>
                </c:pt>
                <c:pt idx="601">
                  <c:v>33.109000000000499</c:v>
                </c:pt>
                <c:pt idx="602">
                  <c:v>33.109100000000502</c:v>
                </c:pt>
                <c:pt idx="603">
                  <c:v>33.109200000000506</c:v>
                </c:pt>
                <c:pt idx="604">
                  <c:v>33.109300000000509</c:v>
                </c:pt>
                <c:pt idx="605">
                  <c:v>33.109400000000512</c:v>
                </c:pt>
                <c:pt idx="606">
                  <c:v>33.109500000000516</c:v>
                </c:pt>
                <c:pt idx="607">
                  <c:v>33.109600000000519</c:v>
                </c:pt>
                <c:pt idx="608">
                  <c:v>33.109700000000522</c:v>
                </c:pt>
                <c:pt idx="609">
                  <c:v>33.109800000000526</c:v>
                </c:pt>
                <c:pt idx="610">
                  <c:v>33.109900000000529</c:v>
                </c:pt>
                <c:pt idx="611">
                  <c:v>33.110000000000532</c:v>
                </c:pt>
                <c:pt idx="612">
                  <c:v>33.110100000000536</c:v>
                </c:pt>
                <c:pt idx="613">
                  <c:v>33.110200000000539</c:v>
                </c:pt>
                <c:pt idx="614">
                  <c:v>33.110300000000542</c:v>
                </c:pt>
                <c:pt idx="615">
                  <c:v>33.110400000000546</c:v>
                </c:pt>
                <c:pt idx="616">
                  <c:v>33.110500000000549</c:v>
                </c:pt>
                <c:pt idx="617">
                  <c:v>33.110600000000552</c:v>
                </c:pt>
                <c:pt idx="618">
                  <c:v>33.110700000000556</c:v>
                </c:pt>
                <c:pt idx="619">
                  <c:v>33.110800000000559</c:v>
                </c:pt>
                <c:pt idx="620">
                  <c:v>33.110900000000562</c:v>
                </c:pt>
                <c:pt idx="621">
                  <c:v>33.111000000000566</c:v>
                </c:pt>
                <c:pt idx="622">
                  <c:v>33.111100000000569</c:v>
                </c:pt>
                <c:pt idx="623">
                  <c:v>33.111200000000572</c:v>
                </c:pt>
                <c:pt idx="624">
                  <c:v>33.111300000000575</c:v>
                </c:pt>
                <c:pt idx="625">
                  <c:v>33.111400000000579</c:v>
                </c:pt>
                <c:pt idx="626">
                  <c:v>33.111500000000582</c:v>
                </c:pt>
                <c:pt idx="627">
                  <c:v>33.111600000000585</c:v>
                </c:pt>
                <c:pt idx="628">
                  <c:v>33.111700000000589</c:v>
                </c:pt>
                <c:pt idx="629">
                  <c:v>33.111800000000592</c:v>
                </c:pt>
                <c:pt idx="630">
                  <c:v>33.111900000000595</c:v>
                </c:pt>
                <c:pt idx="631">
                  <c:v>33.112000000000599</c:v>
                </c:pt>
                <c:pt idx="632">
                  <c:v>33.112100000000602</c:v>
                </c:pt>
                <c:pt idx="633">
                  <c:v>33.112200000000605</c:v>
                </c:pt>
                <c:pt idx="634">
                  <c:v>33.112300000000609</c:v>
                </c:pt>
                <c:pt idx="635">
                  <c:v>33.112400000000612</c:v>
                </c:pt>
                <c:pt idx="636">
                  <c:v>33.112500000000615</c:v>
                </c:pt>
                <c:pt idx="637">
                  <c:v>33.112600000000619</c:v>
                </c:pt>
                <c:pt idx="638">
                  <c:v>33.112700000000622</c:v>
                </c:pt>
                <c:pt idx="639">
                  <c:v>33.112800000000625</c:v>
                </c:pt>
                <c:pt idx="640">
                  <c:v>33.112900000000629</c:v>
                </c:pt>
                <c:pt idx="641">
                  <c:v>33.113000000000632</c:v>
                </c:pt>
                <c:pt idx="642">
                  <c:v>33.113100000000635</c:v>
                </c:pt>
                <c:pt idx="643">
                  <c:v>33.113200000000639</c:v>
                </c:pt>
                <c:pt idx="644">
                  <c:v>33.113300000000642</c:v>
                </c:pt>
                <c:pt idx="645">
                  <c:v>33.113400000000645</c:v>
                </c:pt>
                <c:pt idx="646">
                  <c:v>33.113500000000649</c:v>
                </c:pt>
                <c:pt idx="647">
                  <c:v>33.113600000000652</c:v>
                </c:pt>
                <c:pt idx="648">
                  <c:v>33.113700000000655</c:v>
                </c:pt>
                <c:pt idx="649">
                  <c:v>33.113800000000658</c:v>
                </c:pt>
                <c:pt idx="650">
                  <c:v>33.113900000000662</c:v>
                </c:pt>
                <c:pt idx="651">
                  <c:v>33.114000000000665</c:v>
                </c:pt>
                <c:pt idx="652">
                  <c:v>33.114100000000668</c:v>
                </c:pt>
                <c:pt idx="653">
                  <c:v>33.114200000000672</c:v>
                </c:pt>
                <c:pt idx="654">
                  <c:v>33.114300000000675</c:v>
                </c:pt>
                <c:pt idx="655">
                  <c:v>33.114400000000678</c:v>
                </c:pt>
                <c:pt idx="656">
                  <c:v>33.114500000000682</c:v>
                </c:pt>
                <c:pt idx="657">
                  <c:v>33.114600000000685</c:v>
                </c:pt>
                <c:pt idx="658">
                  <c:v>33.114700000000688</c:v>
                </c:pt>
                <c:pt idx="659">
                  <c:v>33.114800000000692</c:v>
                </c:pt>
                <c:pt idx="660">
                  <c:v>33.114900000000695</c:v>
                </c:pt>
                <c:pt idx="661">
                  <c:v>33.115000000000698</c:v>
                </c:pt>
                <c:pt idx="662">
                  <c:v>33.115100000000702</c:v>
                </c:pt>
                <c:pt idx="663">
                  <c:v>33.115200000000705</c:v>
                </c:pt>
                <c:pt idx="664">
                  <c:v>33.115300000000708</c:v>
                </c:pt>
                <c:pt idx="665">
                  <c:v>33.115400000000712</c:v>
                </c:pt>
                <c:pt idx="666">
                  <c:v>33.115500000000715</c:v>
                </c:pt>
                <c:pt idx="667">
                  <c:v>33.115600000000718</c:v>
                </c:pt>
                <c:pt idx="668">
                  <c:v>33.115700000000722</c:v>
                </c:pt>
                <c:pt idx="669">
                  <c:v>33.115800000000725</c:v>
                </c:pt>
                <c:pt idx="670">
                  <c:v>33.115900000000728</c:v>
                </c:pt>
                <c:pt idx="671">
                  <c:v>33.116000000000732</c:v>
                </c:pt>
                <c:pt idx="672">
                  <c:v>33.116100000000735</c:v>
                </c:pt>
                <c:pt idx="673">
                  <c:v>33.116200000000738</c:v>
                </c:pt>
                <c:pt idx="674">
                  <c:v>33.116300000000741</c:v>
                </c:pt>
                <c:pt idx="675">
                  <c:v>33.116400000000745</c:v>
                </c:pt>
                <c:pt idx="676">
                  <c:v>33.116500000000748</c:v>
                </c:pt>
                <c:pt idx="677">
                  <c:v>33.116600000000751</c:v>
                </c:pt>
                <c:pt idx="678">
                  <c:v>33.116700000000755</c:v>
                </c:pt>
                <c:pt idx="679">
                  <c:v>33.116800000000758</c:v>
                </c:pt>
                <c:pt idx="680">
                  <c:v>33.116900000000761</c:v>
                </c:pt>
                <c:pt idx="681">
                  <c:v>33.117000000000765</c:v>
                </c:pt>
                <c:pt idx="682">
                  <c:v>33.117100000000768</c:v>
                </c:pt>
                <c:pt idx="683">
                  <c:v>33.117200000000771</c:v>
                </c:pt>
                <c:pt idx="684">
                  <c:v>33.117300000000775</c:v>
                </c:pt>
                <c:pt idx="685">
                  <c:v>33.117400000000778</c:v>
                </c:pt>
                <c:pt idx="686">
                  <c:v>33.117500000000781</c:v>
                </c:pt>
                <c:pt idx="687">
                  <c:v>33.117600000000785</c:v>
                </c:pt>
                <c:pt idx="688">
                  <c:v>33.117700000000788</c:v>
                </c:pt>
                <c:pt idx="689">
                  <c:v>33.117800000000791</c:v>
                </c:pt>
                <c:pt idx="690">
                  <c:v>33.117900000000795</c:v>
                </c:pt>
                <c:pt idx="691">
                  <c:v>33.118000000000798</c:v>
                </c:pt>
                <c:pt idx="692">
                  <c:v>33.118100000000801</c:v>
                </c:pt>
                <c:pt idx="693">
                  <c:v>33.118200000000805</c:v>
                </c:pt>
                <c:pt idx="694">
                  <c:v>33.118300000000808</c:v>
                </c:pt>
                <c:pt idx="695">
                  <c:v>33.118400000000811</c:v>
                </c:pt>
                <c:pt idx="696">
                  <c:v>33.118500000000815</c:v>
                </c:pt>
                <c:pt idx="697">
                  <c:v>33.118600000000818</c:v>
                </c:pt>
                <c:pt idx="698">
                  <c:v>33.118700000000821</c:v>
                </c:pt>
                <c:pt idx="699">
                  <c:v>33.118800000000824</c:v>
                </c:pt>
                <c:pt idx="700">
                  <c:v>33.118900000000828</c:v>
                </c:pt>
                <c:pt idx="701">
                  <c:v>33.119000000000831</c:v>
                </c:pt>
                <c:pt idx="702">
                  <c:v>33.119100000000834</c:v>
                </c:pt>
                <c:pt idx="703">
                  <c:v>33.119200000000838</c:v>
                </c:pt>
                <c:pt idx="704">
                  <c:v>33.119300000000841</c:v>
                </c:pt>
                <c:pt idx="705">
                  <c:v>33.119400000000844</c:v>
                </c:pt>
                <c:pt idx="706">
                  <c:v>33.119500000000848</c:v>
                </c:pt>
                <c:pt idx="707">
                  <c:v>33.119600000000851</c:v>
                </c:pt>
                <c:pt idx="708">
                  <c:v>33.119700000000854</c:v>
                </c:pt>
                <c:pt idx="709">
                  <c:v>33.119800000000858</c:v>
                </c:pt>
                <c:pt idx="710">
                  <c:v>33.119900000000861</c:v>
                </c:pt>
                <c:pt idx="711">
                  <c:v>33.120000000000864</c:v>
                </c:pt>
                <c:pt idx="712">
                  <c:v>33.120100000000868</c:v>
                </c:pt>
                <c:pt idx="713">
                  <c:v>33.120200000000871</c:v>
                </c:pt>
                <c:pt idx="714">
                  <c:v>33.120300000000874</c:v>
                </c:pt>
                <c:pt idx="715">
                  <c:v>33.120400000000878</c:v>
                </c:pt>
                <c:pt idx="716">
                  <c:v>33.120500000000881</c:v>
                </c:pt>
                <c:pt idx="717">
                  <c:v>33.120600000000884</c:v>
                </c:pt>
                <c:pt idx="718">
                  <c:v>33.120700000000888</c:v>
                </c:pt>
                <c:pt idx="719">
                  <c:v>33.120800000000891</c:v>
                </c:pt>
                <c:pt idx="720">
                  <c:v>33.120900000000894</c:v>
                </c:pt>
                <c:pt idx="721">
                  <c:v>33.121000000000898</c:v>
                </c:pt>
                <c:pt idx="722">
                  <c:v>33.121100000000901</c:v>
                </c:pt>
                <c:pt idx="723">
                  <c:v>33.121200000000904</c:v>
                </c:pt>
                <c:pt idx="724">
                  <c:v>33.121300000000907</c:v>
                </c:pt>
                <c:pt idx="725">
                  <c:v>33.121400000000911</c:v>
                </c:pt>
                <c:pt idx="726">
                  <c:v>33.121500000000914</c:v>
                </c:pt>
                <c:pt idx="727">
                  <c:v>33.121600000000917</c:v>
                </c:pt>
                <c:pt idx="728">
                  <c:v>33.121700000000921</c:v>
                </c:pt>
                <c:pt idx="729">
                  <c:v>33.121800000000924</c:v>
                </c:pt>
                <c:pt idx="730">
                  <c:v>33.121900000000927</c:v>
                </c:pt>
                <c:pt idx="731">
                  <c:v>33.122000000000931</c:v>
                </c:pt>
                <c:pt idx="732">
                  <c:v>33.122100000000934</c:v>
                </c:pt>
                <c:pt idx="733">
                  <c:v>33.122200000000937</c:v>
                </c:pt>
                <c:pt idx="734">
                  <c:v>33.122300000000941</c:v>
                </c:pt>
                <c:pt idx="735">
                  <c:v>33.122400000000944</c:v>
                </c:pt>
                <c:pt idx="736">
                  <c:v>33.122500000000947</c:v>
                </c:pt>
                <c:pt idx="737">
                  <c:v>33.122600000000951</c:v>
                </c:pt>
                <c:pt idx="738">
                  <c:v>33.122700000000954</c:v>
                </c:pt>
                <c:pt idx="739">
                  <c:v>33.122800000000957</c:v>
                </c:pt>
                <c:pt idx="740">
                  <c:v>33.122900000000961</c:v>
                </c:pt>
                <c:pt idx="741">
                  <c:v>33.123000000000964</c:v>
                </c:pt>
                <c:pt idx="742">
                  <c:v>33.123100000000967</c:v>
                </c:pt>
                <c:pt idx="743">
                  <c:v>33.123200000000971</c:v>
                </c:pt>
                <c:pt idx="744">
                  <c:v>33.123300000000974</c:v>
                </c:pt>
                <c:pt idx="745">
                  <c:v>33.123400000000977</c:v>
                </c:pt>
                <c:pt idx="746">
                  <c:v>33.12350000000098</c:v>
                </c:pt>
                <c:pt idx="747">
                  <c:v>33.123600000000984</c:v>
                </c:pt>
                <c:pt idx="748">
                  <c:v>33.123700000000987</c:v>
                </c:pt>
                <c:pt idx="749">
                  <c:v>33.12380000000099</c:v>
                </c:pt>
                <c:pt idx="750">
                  <c:v>33.123900000000994</c:v>
                </c:pt>
                <c:pt idx="751">
                  <c:v>33.124000000000997</c:v>
                </c:pt>
                <c:pt idx="752">
                  <c:v>33.124100000001</c:v>
                </c:pt>
                <c:pt idx="753">
                  <c:v>33.124200000001004</c:v>
                </c:pt>
                <c:pt idx="754">
                  <c:v>33.124300000001007</c:v>
                </c:pt>
                <c:pt idx="755">
                  <c:v>33.12440000000101</c:v>
                </c:pt>
                <c:pt idx="756">
                  <c:v>33.124500000001014</c:v>
                </c:pt>
                <c:pt idx="757">
                  <c:v>33.124600000001017</c:v>
                </c:pt>
                <c:pt idx="758">
                  <c:v>33.12470000000102</c:v>
                </c:pt>
                <c:pt idx="759">
                  <c:v>33.124800000001024</c:v>
                </c:pt>
                <c:pt idx="760">
                  <c:v>33.124900000001027</c:v>
                </c:pt>
                <c:pt idx="761">
                  <c:v>33.12500000000103</c:v>
                </c:pt>
                <c:pt idx="762">
                  <c:v>33.125100000001034</c:v>
                </c:pt>
                <c:pt idx="763">
                  <c:v>33.125200000001037</c:v>
                </c:pt>
                <c:pt idx="764">
                  <c:v>33.12530000000104</c:v>
                </c:pt>
                <c:pt idx="765">
                  <c:v>33.125400000001044</c:v>
                </c:pt>
                <c:pt idx="766">
                  <c:v>33.125500000001047</c:v>
                </c:pt>
                <c:pt idx="767">
                  <c:v>33.12560000000105</c:v>
                </c:pt>
                <c:pt idx="768">
                  <c:v>33.125700000001054</c:v>
                </c:pt>
                <c:pt idx="769">
                  <c:v>33.125800000001057</c:v>
                </c:pt>
                <c:pt idx="770">
                  <c:v>33.12590000000106</c:v>
                </c:pt>
                <c:pt idx="771">
                  <c:v>33.126000000001063</c:v>
                </c:pt>
                <c:pt idx="772">
                  <c:v>33.126100000001067</c:v>
                </c:pt>
                <c:pt idx="773">
                  <c:v>33.12620000000107</c:v>
                </c:pt>
                <c:pt idx="774">
                  <c:v>33.126300000001073</c:v>
                </c:pt>
                <c:pt idx="775">
                  <c:v>33.126400000001077</c:v>
                </c:pt>
                <c:pt idx="776">
                  <c:v>33.12650000000108</c:v>
                </c:pt>
                <c:pt idx="777">
                  <c:v>33.126600000001083</c:v>
                </c:pt>
                <c:pt idx="778">
                  <c:v>33.126700000001087</c:v>
                </c:pt>
                <c:pt idx="779">
                  <c:v>33.12680000000109</c:v>
                </c:pt>
                <c:pt idx="780">
                  <c:v>33.126900000001093</c:v>
                </c:pt>
                <c:pt idx="781">
                  <c:v>33.127000000001097</c:v>
                </c:pt>
                <c:pt idx="782">
                  <c:v>33.1271000000011</c:v>
                </c:pt>
                <c:pt idx="783">
                  <c:v>33.127200000001103</c:v>
                </c:pt>
                <c:pt idx="784">
                  <c:v>33.127300000001107</c:v>
                </c:pt>
                <c:pt idx="785">
                  <c:v>33.12740000000111</c:v>
                </c:pt>
                <c:pt idx="786">
                  <c:v>33.127500000001113</c:v>
                </c:pt>
                <c:pt idx="787">
                  <c:v>33.127600000001117</c:v>
                </c:pt>
                <c:pt idx="788">
                  <c:v>33.12770000000112</c:v>
                </c:pt>
                <c:pt idx="789">
                  <c:v>33.127800000001123</c:v>
                </c:pt>
                <c:pt idx="790">
                  <c:v>33.127900000001127</c:v>
                </c:pt>
                <c:pt idx="791">
                  <c:v>33.12800000000113</c:v>
                </c:pt>
                <c:pt idx="792">
                  <c:v>33.128100000001133</c:v>
                </c:pt>
                <c:pt idx="793">
                  <c:v>33.128200000001137</c:v>
                </c:pt>
                <c:pt idx="794">
                  <c:v>33.12830000000114</c:v>
                </c:pt>
                <c:pt idx="795">
                  <c:v>33.128400000001143</c:v>
                </c:pt>
                <c:pt idx="796">
                  <c:v>33.128500000001146</c:v>
                </c:pt>
                <c:pt idx="797">
                  <c:v>33.12860000000115</c:v>
                </c:pt>
                <c:pt idx="798">
                  <c:v>33.128700000001153</c:v>
                </c:pt>
                <c:pt idx="799">
                  <c:v>33.128800000001156</c:v>
                </c:pt>
                <c:pt idx="800">
                  <c:v>33.12890000000116</c:v>
                </c:pt>
                <c:pt idx="801">
                  <c:v>33.129000000001163</c:v>
                </c:pt>
                <c:pt idx="802">
                  <c:v>33.129100000001166</c:v>
                </c:pt>
                <c:pt idx="803">
                  <c:v>33.12920000000117</c:v>
                </c:pt>
                <c:pt idx="804">
                  <c:v>33.129300000001173</c:v>
                </c:pt>
                <c:pt idx="805">
                  <c:v>33.129400000001176</c:v>
                </c:pt>
                <c:pt idx="806">
                  <c:v>33.12950000000118</c:v>
                </c:pt>
                <c:pt idx="807">
                  <c:v>33.129600000001183</c:v>
                </c:pt>
                <c:pt idx="808">
                  <c:v>33.129700000001186</c:v>
                </c:pt>
                <c:pt idx="809">
                  <c:v>33.12980000000119</c:v>
                </c:pt>
                <c:pt idx="810">
                  <c:v>33.129900000001193</c:v>
                </c:pt>
                <c:pt idx="811">
                  <c:v>33.130000000001196</c:v>
                </c:pt>
                <c:pt idx="812">
                  <c:v>33.1301000000012</c:v>
                </c:pt>
                <c:pt idx="813">
                  <c:v>33.130200000001203</c:v>
                </c:pt>
                <c:pt idx="814">
                  <c:v>33.130300000001206</c:v>
                </c:pt>
                <c:pt idx="815">
                  <c:v>33.13040000000121</c:v>
                </c:pt>
                <c:pt idx="816">
                  <c:v>33.130500000001213</c:v>
                </c:pt>
                <c:pt idx="817">
                  <c:v>33.130600000001216</c:v>
                </c:pt>
                <c:pt idx="818">
                  <c:v>33.13070000000122</c:v>
                </c:pt>
                <c:pt idx="819">
                  <c:v>33.130800000001223</c:v>
                </c:pt>
                <c:pt idx="820">
                  <c:v>33.130900000001226</c:v>
                </c:pt>
                <c:pt idx="821">
                  <c:v>33.131000000001229</c:v>
                </c:pt>
                <c:pt idx="822">
                  <c:v>33.131100000001233</c:v>
                </c:pt>
                <c:pt idx="823">
                  <c:v>33.131200000001236</c:v>
                </c:pt>
                <c:pt idx="824">
                  <c:v>33.131300000001239</c:v>
                </c:pt>
                <c:pt idx="825">
                  <c:v>33.131400000001243</c:v>
                </c:pt>
                <c:pt idx="826">
                  <c:v>33.131500000001246</c:v>
                </c:pt>
                <c:pt idx="827">
                  <c:v>33.131600000001249</c:v>
                </c:pt>
                <c:pt idx="828">
                  <c:v>33.131700000001253</c:v>
                </c:pt>
                <c:pt idx="829">
                  <c:v>33.131800000001256</c:v>
                </c:pt>
                <c:pt idx="830">
                  <c:v>33.131900000001259</c:v>
                </c:pt>
                <c:pt idx="831">
                  <c:v>33.132000000001263</c:v>
                </c:pt>
                <c:pt idx="832">
                  <c:v>33.132100000001266</c:v>
                </c:pt>
                <c:pt idx="833">
                  <c:v>33.132200000001269</c:v>
                </c:pt>
                <c:pt idx="834">
                  <c:v>33.132300000001273</c:v>
                </c:pt>
                <c:pt idx="835">
                  <c:v>33.132400000001276</c:v>
                </c:pt>
                <c:pt idx="836">
                  <c:v>33.132500000001279</c:v>
                </c:pt>
                <c:pt idx="837">
                  <c:v>33.132600000001283</c:v>
                </c:pt>
                <c:pt idx="838">
                  <c:v>33.132700000001286</c:v>
                </c:pt>
                <c:pt idx="839">
                  <c:v>33.132800000001289</c:v>
                </c:pt>
                <c:pt idx="840">
                  <c:v>33.132900000001293</c:v>
                </c:pt>
                <c:pt idx="841">
                  <c:v>33.133000000001296</c:v>
                </c:pt>
                <c:pt idx="842">
                  <c:v>33.133100000001299</c:v>
                </c:pt>
                <c:pt idx="843">
                  <c:v>33.133200000001302</c:v>
                </c:pt>
                <c:pt idx="844">
                  <c:v>33.133300000001306</c:v>
                </c:pt>
                <c:pt idx="845">
                  <c:v>33.133400000001309</c:v>
                </c:pt>
                <c:pt idx="846">
                  <c:v>33.133500000001312</c:v>
                </c:pt>
                <c:pt idx="847">
                  <c:v>33.133600000001316</c:v>
                </c:pt>
                <c:pt idx="848">
                  <c:v>33.133700000001319</c:v>
                </c:pt>
                <c:pt idx="849">
                  <c:v>33.133800000001322</c:v>
                </c:pt>
                <c:pt idx="850">
                  <c:v>33.133900000001326</c:v>
                </c:pt>
                <c:pt idx="851">
                  <c:v>33.134000000001329</c:v>
                </c:pt>
                <c:pt idx="852">
                  <c:v>33.134100000001332</c:v>
                </c:pt>
                <c:pt idx="853">
                  <c:v>33.134200000001336</c:v>
                </c:pt>
                <c:pt idx="854">
                  <c:v>33.134300000001339</c:v>
                </c:pt>
                <c:pt idx="855">
                  <c:v>33.134400000001342</c:v>
                </c:pt>
                <c:pt idx="856">
                  <c:v>33.134500000001346</c:v>
                </c:pt>
                <c:pt idx="857">
                  <c:v>33.134600000001349</c:v>
                </c:pt>
                <c:pt idx="858">
                  <c:v>33.134700000001352</c:v>
                </c:pt>
                <c:pt idx="859">
                  <c:v>33.134800000001356</c:v>
                </c:pt>
                <c:pt idx="860">
                  <c:v>33.134900000001359</c:v>
                </c:pt>
                <c:pt idx="861">
                  <c:v>33.135000000001362</c:v>
                </c:pt>
                <c:pt idx="862">
                  <c:v>33.135100000001366</c:v>
                </c:pt>
                <c:pt idx="863">
                  <c:v>33.135200000001369</c:v>
                </c:pt>
                <c:pt idx="864">
                  <c:v>33.135300000001372</c:v>
                </c:pt>
                <c:pt idx="865">
                  <c:v>33.135400000001376</c:v>
                </c:pt>
                <c:pt idx="866">
                  <c:v>33.135500000001379</c:v>
                </c:pt>
                <c:pt idx="867">
                  <c:v>33.135600000001382</c:v>
                </c:pt>
                <c:pt idx="868">
                  <c:v>33.135700000001385</c:v>
                </c:pt>
                <c:pt idx="869">
                  <c:v>33.135800000001389</c:v>
                </c:pt>
                <c:pt idx="870">
                  <c:v>33.135900000001392</c:v>
                </c:pt>
                <c:pt idx="871">
                  <c:v>33.136000000001395</c:v>
                </c:pt>
                <c:pt idx="872">
                  <c:v>33.136100000001399</c:v>
                </c:pt>
                <c:pt idx="873">
                  <c:v>33.136200000001402</c:v>
                </c:pt>
                <c:pt idx="874">
                  <c:v>33.136300000001405</c:v>
                </c:pt>
                <c:pt idx="875">
                  <c:v>33.136400000001409</c:v>
                </c:pt>
                <c:pt idx="876">
                  <c:v>33.136500000001412</c:v>
                </c:pt>
                <c:pt idx="877">
                  <c:v>33.136600000001415</c:v>
                </c:pt>
                <c:pt idx="878">
                  <c:v>33.136700000001419</c:v>
                </c:pt>
                <c:pt idx="879">
                  <c:v>33.136800000001422</c:v>
                </c:pt>
                <c:pt idx="880">
                  <c:v>33.136900000001425</c:v>
                </c:pt>
                <c:pt idx="881">
                  <c:v>33.137000000001429</c:v>
                </c:pt>
                <c:pt idx="882">
                  <c:v>33.137100000001432</c:v>
                </c:pt>
                <c:pt idx="883">
                  <c:v>33.137200000001435</c:v>
                </c:pt>
                <c:pt idx="884">
                  <c:v>33.137300000001439</c:v>
                </c:pt>
                <c:pt idx="885">
                  <c:v>33.137400000001442</c:v>
                </c:pt>
                <c:pt idx="886">
                  <c:v>33.137500000001445</c:v>
                </c:pt>
                <c:pt idx="887">
                  <c:v>33.137600000001449</c:v>
                </c:pt>
                <c:pt idx="888">
                  <c:v>33.137700000001452</c:v>
                </c:pt>
                <c:pt idx="889">
                  <c:v>33.137800000001455</c:v>
                </c:pt>
                <c:pt idx="890">
                  <c:v>33.137900000001459</c:v>
                </c:pt>
                <c:pt idx="891">
                  <c:v>33.138000000001462</c:v>
                </c:pt>
                <c:pt idx="892">
                  <c:v>33.138100000001465</c:v>
                </c:pt>
                <c:pt idx="893">
                  <c:v>33.138200000001468</c:v>
                </c:pt>
                <c:pt idx="894">
                  <c:v>33.138300000001472</c:v>
                </c:pt>
                <c:pt idx="895">
                  <c:v>33.138400000001475</c:v>
                </c:pt>
                <c:pt idx="896">
                  <c:v>33.138500000001478</c:v>
                </c:pt>
                <c:pt idx="897">
                  <c:v>33.138600000001482</c:v>
                </c:pt>
                <c:pt idx="898">
                  <c:v>33.138700000001485</c:v>
                </c:pt>
                <c:pt idx="899">
                  <c:v>33.138800000001488</c:v>
                </c:pt>
                <c:pt idx="900">
                  <c:v>33.138900000001492</c:v>
                </c:pt>
                <c:pt idx="901">
                  <c:v>33.139000000001495</c:v>
                </c:pt>
                <c:pt idx="902">
                  <c:v>33.139100000001498</c:v>
                </c:pt>
                <c:pt idx="903">
                  <c:v>33.139200000001502</c:v>
                </c:pt>
                <c:pt idx="904">
                  <c:v>33.139300000001505</c:v>
                </c:pt>
                <c:pt idx="905">
                  <c:v>33.139400000001508</c:v>
                </c:pt>
                <c:pt idx="906">
                  <c:v>33.139500000001512</c:v>
                </c:pt>
                <c:pt idx="907">
                  <c:v>33.139600000001515</c:v>
                </c:pt>
                <c:pt idx="908">
                  <c:v>33.139700000001518</c:v>
                </c:pt>
                <c:pt idx="909">
                  <c:v>33.139800000001522</c:v>
                </c:pt>
                <c:pt idx="910">
                  <c:v>33.139900000001525</c:v>
                </c:pt>
                <c:pt idx="911">
                  <c:v>33.140000000001528</c:v>
                </c:pt>
                <c:pt idx="912">
                  <c:v>33.140100000001532</c:v>
                </c:pt>
                <c:pt idx="913">
                  <c:v>33.140200000001535</c:v>
                </c:pt>
                <c:pt idx="914">
                  <c:v>33.140300000001538</c:v>
                </c:pt>
                <c:pt idx="915">
                  <c:v>33.140400000001542</c:v>
                </c:pt>
                <c:pt idx="916">
                  <c:v>33.140500000001545</c:v>
                </c:pt>
                <c:pt idx="917">
                  <c:v>33.140600000001548</c:v>
                </c:pt>
                <c:pt idx="918">
                  <c:v>33.140700000001551</c:v>
                </c:pt>
                <c:pt idx="919">
                  <c:v>33.140800000001555</c:v>
                </c:pt>
                <c:pt idx="920">
                  <c:v>33.140900000001558</c:v>
                </c:pt>
                <c:pt idx="921">
                  <c:v>33.141000000001561</c:v>
                </c:pt>
                <c:pt idx="922">
                  <c:v>33.141100000001565</c:v>
                </c:pt>
                <c:pt idx="923">
                  <c:v>33.141200000001568</c:v>
                </c:pt>
                <c:pt idx="924">
                  <c:v>33.141300000001571</c:v>
                </c:pt>
                <c:pt idx="925">
                  <c:v>33.141400000001575</c:v>
                </c:pt>
                <c:pt idx="926">
                  <c:v>33.141500000001578</c:v>
                </c:pt>
                <c:pt idx="927">
                  <c:v>33.141600000001581</c:v>
                </c:pt>
                <c:pt idx="928">
                  <c:v>33.141700000001585</c:v>
                </c:pt>
                <c:pt idx="929">
                  <c:v>33.141800000001588</c:v>
                </c:pt>
                <c:pt idx="930">
                  <c:v>33.141900000001591</c:v>
                </c:pt>
                <c:pt idx="931">
                  <c:v>33.142000000001595</c:v>
                </c:pt>
                <c:pt idx="932">
                  <c:v>33.142100000001598</c:v>
                </c:pt>
                <c:pt idx="933">
                  <c:v>33.142200000001601</c:v>
                </c:pt>
                <c:pt idx="934">
                  <c:v>33.142300000001605</c:v>
                </c:pt>
                <c:pt idx="935">
                  <c:v>33.142400000001608</c:v>
                </c:pt>
                <c:pt idx="936">
                  <c:v>33.142500000001611</c:v>
                </c:pt>
                <c:pt idx="937">
                  <c:v>33.142600000001615</c:v>
                </c:pt>
                <c:pt idx="938">
                  <c:v>33.142700000001618</c:v>
                </c:pt>
                <c:pt idx="939">
                  <c:v>33.142800000001621</c:v>
                </c:pt>
                <c:pt idx="940">
                  <c:v>33.142900000001625</c:v>
                </c:pt>
                <c:pt idx="941">
                  <c:v>33.143000000001628</c:v>
                </c:pt>
                <c:pt idx="942">
                  <c:v>33.143100000001631</c:v>
                </c:pt>
                <c:pt idx="943">
                  <c:v>33.143200000001634</c:v>
                </c:pt>
                <c:pt idx="944">
                  <c:v>33.143300000001638</c:v>
                </c:pt>
                <c:pt idx="945">
                  <c:v>33.143400000001641</c:v>
                </c:pt>
                <c:pt idx="946">
                  <c:v>33.143500000001644</c:v>
                </c:pt>
                <c:pt idx="947">
                  <c:v>33.143600000001648</c:v>
                </c:pt>
                <c:pt idx="948">
                  <c:v>33.143700000001651</c:v>
                </c:pt>
                <c:pt idx="949">
                  <c:v>33.143800000001654</c:v>
                </c:pt>
                <c:pt idx="950">
                  <c:v>33.143900000001658</c:v>
                </c:pt>
                <c:pt idx="951">
                  <c:v>33.144000000001661</c:v>
                </c:pt>
                <c:pt idx="952">
                  <c:v>33.144100000001664</c:v>
                </c:pt>
                <c:pt idx="953">
                  <c:v>33.144200000001668</c:v>
                </c:pt>
                <c:pt idx="954">
                  <c:v>33.144300000001671</c:v>
                </c:pt>
                <c:pt idx="955">
                  <c:v>33.144400000001674</c:v>
                </c:pt>
                <c:pt idx="956">
                  <c:v>33.144500000001678</c:v>
                </c:pt>
                <c:pt idx="957">
                  <c:v>33.144600000001681</c:v>
                </c:pt>
                <c:pt idx="958">
                  <c:v>33.144700000001684</c:v>
                </c:pt>
                <c:pt idx="959">
                  <c:v>33.144800000001688</c:v>
                </c:pt>
                <c:pt idx="960">
                  <c:v>33.144900000001691</c:v>
                </c:pt>
                <c:pt idx="961">
                  <c:v>33.145000000001694</c:v>
                </c:pt>
                <c:pt idx="962">
                  <c:v>33.145100000001698</c:v>
                </c:pt>
                <c:pt idx="963">
                  <c:v>33.145200000001701</c:v>
                </c:pt>
                <c:pt idx="964">
                  <c:v>33.145300000001704</c:v>
                </c:pt>
                <c:pt idx="965">
                  <c:v>33.145400000001707</c:v>
                </c:pt>
                <c:pt idx="966">
                  <c:v>33.145500000001711</c:v>
                </c:pt>
                <c:pt idx="967">
                  <c:v>33.145600000001714</c:v>
                </c:pt>
                <c:pt idx="968">
                  <c:v>33.145700000001717</c:v>
                </c:pt>
                <c:pt idx="969">
                  <c:v>33.145800000001721</c:v>
                </c:pt>
                <c:pt idx="970">
                  <c:v>33.145900000001724</c:v>
                </c:pt>
                <c:pt idx="971">
                  <c:v>33.146000000001727</c:v>
                </c:pt>
                <c:pt idx="972">
                  <c:v>33.146100000001731</c:v>
                </c:pt>
                <c:pt idx="973">
                  <c:v>33.146200000001734</c:v>
                </c:pt>
                <c:pt idx="974">
                  <c:v>33.146300000001737</c:v>
                </c:pt>
                <c:pt idx="975">
                  <c:v>33.146400000001741</c:v>
                </c:pt>
                <c:pt idx="976">
                  <c:v>33.146500000001744</c:v>
                </c:pt>
                <c:pt idx="977">
                  <c:v>33.146600000001747</c:v>
                </c:pt>
                <c:pt idx="978">
                  <c:v>33.146700000001751</c:v>
                </c:pt>
                <c:pt idx="979">
                  <c:v>33.146800000001754</c:v>
                </c:pt>
                <c:pt idx="980">
                  <c:v>33.146900000001757</c:v>
                </c:pt>
                <c:pt idx="981">
                  <c:v>33.147000000001761</c:v>
                </c:pt>
                <c:pt idx="982">
                  <c:v>33.147100000001764</c:v>
                </c:pt>
                <c:pt idx="983">
                  <c:v>33.147200000001767</c:v>
                </c:pt>
                <c:pt idx="984">
                  <c:v>33.147300000001771</c:v>
                </c:pt>
                <c:pt idx="985">
                  <c:v>33.147400000001774</c:v>
                </c:pt>
                <c:pt idx="986">
                  <c:v>33.147500000001777</c:v>
                </c:pt>
                <c:pt idx="987">
                  <c:v>33.147600000001781</c:v>
                </c:pt>
                <c:pt idx="988">
                  <c:v>33.147700000001784</c:v>
                </c:pt>
                <c:pt idx="989">
                  <c:v>33.147800000001787</c:v>
                </c:pt>
                <c:pt idx="990">
                  <c:v>33.14790000000179</c:v>
                </c:pt>
                <c:pt idx="991">
                  <c:v>33.148000000001794</c:v>
                </c:pt>
                <c:pt idx="992">
                  <c:v>33.148100000001797</c:v>
                </c:pt>
                <c:pt idx="993">
                  <c:v>33.1482000000018</c:v>
                </c:pt>
                <c:pt idx="994">
                  <c:v>33.148300000001804</c:v>
                </c:pt>
                <c:pt idx="995">
                  <c:v>33.148400000001807</c:v>
                </c:pt>
                <c:pt idx="996">
                  <c:v>33.14850000000181</c:v>
                </c:pt>
                <c:pt idx="997">
                  <c:v>33.148600000001814</c:v>
                </c:pt>
                <c:pt idx="998">
                  <c:v>33.148700000001817</c:v>
                </c:pt>
                <c:pt idx="999">
                  <c:v>33.14880000000182</c:v>
                </c:pt>
                <c:pt idx="1000">
                  <c:v>33.148900000001824</c:v>
                </c:pt>
              </c:numCache>
            </c:numRef>
          </c:xVal>
          <c:yVal>
            <c:numRef>
              <c:f>Calculs!$J$4:$J$1004</c:f>
              <c:numCache>
                <c:formatCode>0.00</c:formatCode>
                <c:ptCount val="1001"/>
                <c:pt idx="0">
                  <c:v>0</c:v>
                </c:pt>
                <c:pt idx="1">
                  <c:v>1.4032514260009475E-4</c:v>
                </c:pt>
                <c:pt idx="2">
                  <c:v>1.1854569387982246E-3</c:v>
                </c:pt>
                <c:pt idx="3">
                  <c:v>4.1398669637661128E-3</c:v>
                </c:pt>
                <c:pt idx="4">
                  <c:v>9.3440850464125494E-3</c:v>
                </c:pt>
                <c:pt idx="5">
                  <c:v>1.6718449531440822E-2</c:v>
                </c:pt>
                <c:pt idx="6">
                  <c:v>2.6207431990298818E-2</c:v>
                </c:pt>
                <c:pt idx="7">
                  <c:v>3.7804015051959121E-2</c:v>
                </c:pt>
                <c:pt idx="8">
                  <c:v>5.1525473974548042E-2</c:v>
                </c:pt>
                <c:pt idx="9">
                  <c:v>6.7389095287224393E-2</c:v>
                </c:pt>
                <c:pt idx="10">
                  <c:v>8.5412176538115739E-2</c:v>
                </c:pt>
                <c:pt idx="11">
                  <c:v>0.10560950313653615</c:v>
                </c:pt>
                <c:pt idx="12">
                  <c:v>0.12799081866129311</c:v>
                </c:pt>
                <c:pt idx="13">
                  <c:v>0.15256333784423576</c:v>
                </c:pt>
                <c:pt idx="14">
                  <c:v>0.17933426611544834</c:v>
                </c:pt>
                <c:pt idx="15">
                  <c:v>0.20831079940390504</c:v>
                </c:pt>
                <c:pt idx="16">
                  <c:v>0.23950012393736705</c:v>
                </c:pt>
                <c:pt idx="17">
                  <c:v>0.27290941604153296</c:v>
                </c:pt>
                <c:pt idx="18">
                  <c:v>0.30854584193845369</c:v>
                </c:pt>
                <c:pt idx="19">
                  <c:v>0.34641655754422435</c:v>
                </c:pt>
                <c:pt idx="20">
                  <c:v>0.38652870826596347</c:v>
                </c:pt>
                <c:pt idx="21">
                  <c:v>0.42888841646673564</c:v>
                </c:pt>
                <c:pt idx="22">
                  <c:v>0.47349976634841856</c:v>
                </c:pt>
                <c:pt idx="23">
                  <c:v>0.52036581233519663</c:v>
                </c:pt>
                <c:pt idx="24">
                  <c:v>0.56948959007956934</c:v>
                </c:pt>
                <c:pt idx="25">
                  <c:v>0.62087411634014311</c:v>
                </c:pt>
                <c:pt idx="26">
                  <c:v>0.67452238885991678</c:v>
                </c:pt>
                <c:pt idx="27">
                  <c:v>0.73043738624507215</c:v>
                </c:pt>
                <c:pt idx="28">
                  <c:v>0.78870600636392141</c:v>
                </c:pt>
                <c:pt idx="29">
                  <c:v>0.84941852023812525</c:v>
                </c:pt>
                <c:pt idx="30">
                  <c:v>0.91258458312841828</c:v>
                </c:pt>
                <c:pt idx="31">
                  <c:v>0.97821367762859157</c:v>
                </c:pt>
                <c:pt idx="32">
                  <c:v>1.0463150677898894</c:v>
                </c:pt>
                <c:pt idx="33">
                  <c:v>1.1168978118378972</c:v>
                </c:pt>
                <c:pt idx="34">
                  <c:v>1.1899707736671841</c:v>
                </c:pt>
                <c:pt idx="35">
                  <c:v>1.2655426332640971</c:v>
                </c:pt>
                <c:pt idx="36">
                  <c:v>1.343621896185639</c:v>
                </c:pt>
                <c:pt idx="37">
                  <c:v>1.4242169022038045</c:v>
                </c:pt>
                <c:pt idx="38">
                  <c:v>1.5073358332093483</c:v>
                </c:pt>
                <c:pt idx="39">
                  <c:v>1.5929867204560784</c:v>
                </c:pt>
                <c:pt idx="40">
                  <c:v>1.6811774512159654</c:v>
                </c:pt>
                <c:pt idx="41">
                  <c:v>1.7719149626731134</c:v>
                </c:pt>
                <c:pt idx="42">
                  <c:v>1.86520442885002</c:v>
                </c:pt>
                <c:pt idx="43">
                  <c:v>1.9610500695157906</c:v>
                </c:pt>
                <c:pt idx="44">
                  <c:v>2.0594559655032145</c:v>
                </c:pt>
                <c:pt idx="45">
                  <c:v>2.1604260637810593</c:v>
                </c:pt>
                <c:pt idx="46">
                  <c:v>2.2639641821699894</c:v>
                </c:pt>
                <c:pt idx="47">
                  <c:v>2.3700740137348433</c:v>
                </c:pt>
                <c:pt idx="48">
                  <c:v>2.4787591308823234</c:v>
                </c:pt>
                <c:pt idx="49">
                  <c:v>2.5900229891899875</c:v>
                </c:pt>
                <c:pt idx="50">
                  <c:v>2.7038689309896458</c:v>
                </c:pt>
                <c:pt idx="51">
                  <c:v>2.8203001887258536</c:v>
                </c:pt>
                <c:pt idx="52">
                  <c:v>2.9393198881080624</c:v>
                </c:pt>
                <c:pt idx="53">
                  <c:v>3.0609310510731262</c:v>
                </c:pt>
                <c:pt idx="54">
                  <c:v>3.1851365985732141</c:v>
                </c:pt>
                <c:pt idx="55">
                  <c:v>3.3119393532027286</c:v>
                </c:pt>
                <c:pt idx="56">
                  <c:v>3.4413420416765348</c:v>
                </c:pt>
                <c:pt idx="57">
                  <c:v>3.5733472971706672</c:v>
                </c:pt>
                <c:pt idx="58">
                  <c:v>3.7079576615356591</c:v>
                </c:pt>
                <c:pt idx="59">
                  <c:v>3.8451755873917302</c:v>
                </c:pt>
                <c:pt idx="60">
                  <c:v>3.9850034401142547</c:v>
                </c:pt>
                <c:pt idx="61">
                  <c:v>4.1274434997172076</c:v>
                </c:pt>
                <c:pt idx="62">
                  <c:v>4.2724979626416246</c:v>
                </c:pt>
                <c:pt idx="63">
                  <c:v>4.4201689434555371</c:v>
                </c:pt>
                <c:pt idx="64">
                  <c:v>4.5704584764712912</c:v>
                </c:pt>
                <c:pt idx="65">
                  <c:v>4.7233685172857083</c:v>
                </c:pt>
                <c:pt idx="66">
                  <c:v>4.8789009442480893</c:v>
                </c:pt>
                <c:pt idx="67">
                  <c:v>5.0370575598606813</c:v>
                </c:pt>
                <c:pt idx="68">
                  <c:v>5.1978400921158725</c:v>
                </c:pt>
                <c:pt idx="69">
                  <c:v>5.3612501957740513</c:v>
                </c:pt>
                <c:pt idx="70">
                  <c:v>5.5272894535857766</c:v>
                </c:pt>
                <c:pt idx="71">
                  <c:v>5.6959593774616346</c:v>
                </c:pt>
                <c:pt idx="72">
                  <c:v>5.8672614095929081</c:v>
                </c:pt>
                <c:pt idx="73">
                  <c:v>6.0411969235259759</c:v>
                </c:pt>
                <c:pt idx="74">
                  <c:v>6.2177672251931373</c:v>
                </c:pt>
                <c:pt idx="75">
                  <c:v>6.3969735539023729</c:v>
                </c:pt>
                <c:pt idx="76">
                  <c:v>6.5788170832883948</c:v>
                </c:pt>
                <c:pt idx="77">
                  <c:v>6.7632989222271558</c:v>
                </c:pt>
                <c:pt idx="78">
                  <c:v>6.9504201157158674</c:v>
                </c:pt>
                <c:pt idx="79">
                  <c:v>7.1401816457204212</c:v>
                </c:pt>
                <c:pt idx="80">
                  <c:v>7.3325844319919984</c:v>
                </c:pt>
                <c:pt idx="81">
                  <c:v>7.5276284628306476</c:v>
                </c:pt>
                <c:pt idx="82">
                  <c:v>7.725311921724594</c:v>
                </c:pt>
                <c:pt idx="83">
                  <c:v>7.9256320528536568</c:v>
                </c:pt>
                <c:pt idx="84">
                  <c:v>8.1285860307951108</c:v>
                </c:pt>
                <c:pt idx="85">
                  <c:v>8.3341709614675263</c:v>
                </c:pt>
                <c:pt idx="86">
                  <c:v>8.5423838830470409</c:v>
                </c:pt>
                <c:pt idx="87">
                  <c:v>8.7532217668575125</c:v>
                </c:pt>
                <c:pt idx="88">
                  <c:v>8.9666815182359016</c:v>
                </c:pt>
                <c:pt idx="89">
                  <c:v>9.1827599773741735</c:v>
                </c:pt>
                <c:pt idx="90">
                  <c:v>9.4014539201389002</c:v>
                </c:pt>
                <c:pt idx="91">
                  <c:v>9.6227596709299856</c:v>
                </c:pt>
                <c:pt idx="92">
                  <c:v>9.846672713871861</c:v>
                </c:pt>
                <c:pt idx="93">
                  <c:v>10.073188079438383</c:v>
                </c:pt>
                <c:pt idx="94">
                  <c:v>10.302300732761406</c:v>
                </c:pt>
                <c:pt idx="95">
                  <c:v>10.534005574462499</c:v>
                </c:pt>
                <c:pt idx="96">
                  <c:v>10.768297441466418</c:v>
                </c:pt>
                <c:pt idx="97">
                  <c:v>11.005171107797208</c:v>
                </c:pt>
                <c:pt idx="98">
                  <c:v>11.244621285357757</c:v>
                </c:pt>
                <c:pt idx="99">
                  <c:v>11.486642624693562</c:v>
                </c:pt>
                <c:pt idx="100">
                  <c:v>11.731229715741472</c:v>
                </c:pt>
                <c:pt idx="101">
                  <c:v>11.978377026000373</c:v>
                </c:pt>
                <c:pt idx="102">
                  <c:v>12.228078838448043</c:v>
                </c:pt>
                <c:pt idx="103">
                  <c:v>12.480329314516894</c:v>
                </c:pt>
                <c:pt idx="104">
                  <c:v>12.735122557305521</c:v>
                </c:pt>
                <c:pt idx="105">
                  <c:v>12.992452612278017</c:v>
                </c:pt>
                <c:pt idx="106">
                  <c:v>13.252313467951623</c:v>
                </c:pt>
                <c:pt idx="107">
                  <c:v>13.514699056573248</c:v>
                </c:pt>
                <c:pt idx="108">
                  <c:v>13.779603254785291</c:v>
                </c:pt>
                <c:pt idx="109">
                  <c:v>14.047019884281253</c:v>
                </c:pt>
                <c:pt idx="110">
                  <c:v>14.316942712451533</c:v>
                </c:pt>
                <c:pt idx="111">
                  <c:v>14.589366178772741</c:v>
                </c:pt>
                <c:pt idx="112">
                  <c:v>14.864286123714614</c:v>
                </c:pt>
                <c:pt idx="113">
                  <c:v>15.141699066633974</c:v>
                </c:pt>
                <c:pt idx="114">
                  <c:v>15.421601481049219</c:v>
                </c:pt>
                <c:pt idx="115">
                  <c:v>15.703989795074692</c:v>
                </c:pt>
                <c:pt idx="116">
                  <c:v>15.988860391849263</c:v>
                </c:pt>
                <c:pt idx="117">
                  <c:v>16.276209609959338</c:v>
                </c:pt>
                <c:pt idx="118">
                  <c:v>16.566033743856547</c:v>
                </c:pt>
                <c:pt idx="119">
                  <c:v>16.858329044270292</c:v>
                </c:pt>
                <c:pt idx="120">
                  <c:v>17.153091718615372</c:v>
                </c:pt>
                <c:pt idx="121">
                  <c:v>17.45031671931568</c:v>
                </c:pt>
                <c:pt idx="122">
                  <c:v>17.749996528264987</c:v>
                </c:pt>
                <c:pt idx="123">
                  <c:v>18.052122364818757</c:v>
                </c:pt>
                <c:pt idx="124">
                  <c:v>18.35668539777647</c:v>
                </c:pt>
                <c:pt idx="125">
                  <c:v>18.663676746038586</c:v>
                </c:pt>
                <c:pt idx="126">
                  <c:v>18.973087479256854</c:v>
                </c:pt>
                <c:pt idx="127">
                  <c:v>19.284908618478173</c:v>
                </c:pt>
                <c:pt idx="128">
                  <c:v>19.599131136782219</c:v>
                </c:pt>
                <c:pt idx="129">
                  <c:v>19.915745959913025</c:v>
                </c:pt>
                <c:pt idx="130">
                  <c:v>20.234743966904663</c:v>
                </c:pt>
                <c:pt idx="131">
                  <c:v>20.5561156713378</c:v>
                </c:pt>
                <c:pt idx="132">
                  <c:v>20.879850901677408</c:v>
                </c:pt>
                <c:pt idx="133">
                  <c:v>21.20593912023088</c:v>
                </c:pt>
                <c:pt idx="134">
                  <c:v>21.534369743050672</c:v>
                </c:pt>
                <c:pt idx="135">
                  <c:v>21.865132140605603</c:v>
                </c:pt>
                <c:pt idx="136">
                  <c:v>22.198215638446435</c:v>
                </c:pt>
                <c:pt idx="137">
                  <c:v>22.533609517865848</c:v>
                </c:pt>
                <c:pt idx="138">
                  <c:v>22.871303016552964</c:v>
                </c:pt>
                <c:pt idx="139">
                  <c:v>23.211285329242525</c:v>
                </c:pt>
                <c:pt idx="140">
                  <c:v>23.553545608358831</c:v>
                </c:pt>
                <c:pt idx="141">
                  <c:v>23.898069123204685</c:v>
                </c:pt>
                <c:pt idx="142">
                  <c:v>24.244833409401906</c:v>
                </c:pt>
                <c:pt idx="143">
                  <c:v>24.593812100818138</c:v>
                </c:pt>
                <c:pt idx="144">
                  <c:v>24.944978771737755</c:v>
                </c:pt>
                <c:pt idx="145">
                  <c:v>25.298306938486025</c:v>
                </c:pt>
                <c:pt idx="146">
                  <c:v>25.653770061036042</c:v>
                </c:pt>
                <c:pt idx="147">
                  <c:v>26.011341544598626</c:v>
                </c:pt>
                <c:pt idx="148">
                  <c:v>26.370994741195297</c:v>
                </c:pt>
                <c:pt idx="149">
                  <c:v>26.732702951214513</c:v>
                </c:pt>
                <c:pt idx="150">
                  <c:v>27.096439424951267</c:v>
                </c:pt>
                <c:pt idx="151">
                  <c:v>27.462177364130167</c:v>
                </c:pt>
                <c:pt idx="152">
                  <c:v>27.829889923412114</c:v>
                </c:pt>
                <c:pt idx="153">
                  <c:v>28.199550211884688</c:v>
                </c:pt>
                <c:pt idx="154">
                  <c:v>28.571131294536293</c:v>
                </c:pt>
                <c:pt idx="155">
                  <c:v>28.944606193714215</c:v>
                </c:pt>
                <c:pt idx="156">
                  <c:v>29.319929546375388</c:v>
                </c:pt>
                <c:pt idx="157">
                  <c:v>29.697019228245527</c:v>
                </c:pt>
                <c:pt idx="158">
                  <c:v>30.075774673525835</c:v>
                </c:pt>
                <c:pt idx="159">
                  <c:v>30.456095232102882</c:v>
                </c:pt>
                <c:pt idx="160">
                  <c:v>30.837880179728423</c:v>
                </c:pt>
                <c:pt idx="161">
                  <c:v>31.221005345375765</c:v>
                </c:pt>
                <c:pt idx="162">
                  <c:v>31.605299713465442</c:v>
                </c:pt>
                <c:pt idx="163">
                  <c:v>31.990571044274873</c:v>
                </c:pt>
                <c:pt idx="164">
                  <c:v>32.376631531177495</c:v>
                </c:pt>
                <c:pt idx="165">
                  <c:v>32.763317980017177</c:v>
                </c:pt>
                <c:pt idx="166">
                  <c:v>33.150511992231536</c:v>
                </c:pt>
                <c:pt idx="167">
                  <c:v>33.538100554940911</c:v>
                </c:pt>
                <c:pt idx="168">
                  <c:v>33.925948941411029</c:v>
                </c:pt>
                <c:pt idx="169">
                  <c:v>34.313882551425046</c:v>
                </c:pt>
                <c:pt idx="170">
                  <c:v>34.701681122428518</c:v>
                </c:pt>
                <c:pt idx="171">
                  <c:v>35.089190333136607</c:v>
                </c:pt>
                <c:pt idx="172">
                  <c:v>35.476371623980071</c:v>
                </c:pt>
                <c:pt idx="173">
                  <c:v>35.863225774198256</c:v>
                </c:pt>
                <c:pt idx="174">
                  <c:v>36.249753560461826</c:v>
                </c:pt>
                <c:pt idx="175">
                  <c:v>36.635955756884393</c:v>
                </c:pt>
                <c:pt idx="176">
                  <c:v>37.021833135034058</c:v>
                </c:pt>
                <c:pt idx="177">
                  <c:v>37.407386463944903</c:v>
                </c:pt>
                <c:pt idx="178">
                  <c:v>37.792616510128418</c:v>
                </c:pt>
                <c:pt idx="179">
                  <c:v>38.17752403758486</c:v>
                </c:pt>
                <c:pt idx="180">
                  <c:v>38.562109807814529</c:v>
                </c:pt>
                <c:pt idx="181">
                  <c:v>38.946374579829033</c:v>
                </c:pt>
                <c:pt idx="182">
                  <c:v>39.330319110162421</c:v>
                </c:pt>
                <c:pt idx="183">
                  <c:v>39.713944152882299</c:v>
                </c:pt>
                <c:pt idx="184">
                  <c:v>40.097250459600886</c:v>
                </c:pt>
                <c:pt idx="185">
                  <c:v>40.48023877948598</c:v>
                </c:pt>
                <c:pt idx="186">
                  <c:v>40.86290985927188</c:v>
                </c:pt>
                <c:pt idx="187">
                  <c:v>41.245264443270244</c:v>
                </c:pt>
                <c:pt idx="188">
                  <c:v>41.627303273380882</c:v>
                </c:pt>
                <c:pt idx="189">
                  <c:v>42.009027089102503</c:v>
                </c:pt>
                <c:pt idx="190">
                  <c:v>42.390436627543387</c:v>
                </c:pt>
                <c:pt idx="191">
                  <c:v>42.771532623432002</c:v>
                </c:pt>
                <c:pt idx="192">
                  <c:v>43.152315809127565</c:v>
                </c:pt>
                <c:pt idx="193">
                  <c:v>43.532786914630542</c:v>
                </c:pt>
                <c:pt idx="194">
                  <c:v>43.912946667593083</c:v>
                </c:pt>
                <c:pt idx="195">
                  <c:v>44.292795793329418</c:v>
                </c:pt>
                <c:pt idx="196">
                  <c:v>44.672335014826167</c:v>
                </c:pt>
                <c:pt idx="197">
                  <c:v>45.051565052752629</c:v>
                </c:pt>
                <c:pt idx="198">
                  <c:v>45.430486625470984</c:v>
                </c:pt>
                <c:pt idx="199">
                  <c:v>45.809100449046454</c:v>
                </c:pt>
                <c:pt idx="200">
                  <c:v>46.187407237257389</c:v>
                </c:pt>
                <c:pt idx="201">
                  <c:v>49.953643290129008</c:v>
                </c:pt>
                <c:pt idx="202">
                  <c:v>53.68963432314429</c:v>
                </c:pt>
                <c:pt idx="203">
                  <c:v>57.39607299998103</c:v>
                </c:pt>
                <c:pt idx="204">
                  <c:v>61.073630391382721</c:v>
                </c:pt>
                <c:pt idx="205">
                  <c:v>64.722956894773986</c:v>
                </c:pt>
                <c:pt idx="206">
                  <c:v>68.344683105282868</c:v>
                </c:pt>
                <c:pt idx="207">
                  <c:v>71.939420641238101</c:v>
                </c:pt>
                <c:pt idx="208">
                  <c:v>75.507762926984825</c:v>
                </c:pt>
                <c:pt idx="209">
                  <c:v>79.050285935656305</c:v>
                </c:pt>
                <c:pt idx="210">
                  <c:v>82.567548894350011</c:v>
                </c:pt>
                <c:pt idx="211">
                  <c:v>86.060094953982855</c:v>
                </c:pt>
                <c:pt idx="212">
                  <c:v>89.528451825940522</c:v>
                </c:pt>
                <c:pt idx="213">
                  <c:v>92.973132387489059</c:v>
                </c:pt>
                <c:pt idx="214">
                  <c:v>96.394635257781275</c:v>
                </c:pt>
                <c:pt idx="215">
                  <c:v>99.79344534616574</c:v>
                </c:pt>
                <c:pt idx="216">
                  <c:v>103.17003437439111</c:v>
                </c:pt>
                <c:pt idx="217">
                  <c:v>106.52486137419193</c:v>
                </c:pt>
                <c:pt idx="218">
                  <c:v>109.85837316164391</c:v>
                </c:pt>
                <c:pt idx="219">
                  <c:v>113.17100478958569</c:v>
                </c:pt>
                <c:pt idx="220">
                  <c:v>116.46317997931985</c:v>
                </c:pt>
                <c:pt idx="221">
                  <c:v>119.73531153272813</c:v>
                </c:pt>
                <c:pt idx="222">
                  <c:v>122.98780172586336</c:v>
                </c:pt>
                <c:pt idx="223">
                  <c:v>126.2210426850135</c:v>
                </c:pt>
                <c:pt idx="224">
                  <c:v>129.43541674617114</c:v>
                </c:pt>
                <c:pt idx="225">
                  <c:v>132.63129679878369</c:v>
                </c:pt>
                <c:pt idx="226">
                  <c:v>135.80904661460588</c:v>
                </c:pt>
                <c:pt idx="227">
                  <c:v>138.96902116242589</c:v>
                </c:pt>
                <c:pt idx="228">
                  <c:v>142.11156690939032</c:v>
                </c:pt>
                <c:pt idx="229">
                  <c:v>145.23702210960909</c:v>
                </c:pt>
                <c:pt idx="230">
                  <c:v>148.34571708068145</c:v>
                </c:pt>
                <c:pt idx="231">
                  <c:v>151.43797446874643</c:v>
                </c:pt>
                <c:pt idx="232">
                  <c:v>154.51410950262536</c:v>
                </c:pt>
                <c:pt idx="233">
                  <c:v>157.57443023759188</c:v>
                </c:pt>
                <c:pt idx="234">
                  <c:v>160.61923778927348</c:v>
                </c:pt>
                <c:pt idx="235">
                  <c:v>163.64882655815998</c:v>
                </c:pt>
                <c:pt idx="236">
                  <c:v>166.66348444516777</c:v>
                </c:pt>
                <c:pt idx="237">
                  <c:v>169.66349305868277</c:v>
                </c:pt>
                <c:pt idx="238">
                  <c:v>172.649127913482</c:v>
                </c:pt>
                <c:pt idx="239">
                  <c:v>175.6206586219111</c:v>
                </c:pt>
                <c:pt idx="240">
                  <c:v>178.57834907767469</c:v>
                </c:pt>
                <c:pt idx="241">
                  <c:v>181.5224576325765</c:v>
                </c:pt>
                <c:pt idx="242">
                  <c:v>184.45323726652825</c:v>
                </c:pt>
                <c:pt idx="243">
                  <c:v>187.3709357511288</c:v>
                </c:pt>
                <c:pt idx="244">
                  <c:v>190.27579580709894</c:v>
                </c:pt>
                <c:pt idx="245">
                  <c:v>193.16805525584206</c:v>
                </c:pt>
                <c:pt idx="246">
                  <c:v>196.04794716538615</c:v>
                </c:pt>
                <c:pt idx="247">
                  <c:v>198.91569999094946</c:v>
                </c:pt>
                <c:pt idx="248">
                  <c:v>201.77153771035935</c:v>
                </c:pt>
                <c:pt idx="249">
                  <c:v>204.61567995454146</c:v>
                </c:pt>
                <c:pt idx="250">
                  <c:v>207.44834213328508</c:v>
                </c:pt>
                <c:pt idx="251">
                  <c:v>210.26973555648021</c:v>
                </c:pt>
                <c:pt idx="252">
                  <c:v>213.08006755101087</c:v>
                </c:pt>
                <c:pt idx="253">
                  <c:v>215.8795415734804</c:v>
                </c:pt>
                <c:pt idx="254">
                  <c:v>218.66835731893445</c:v>
                </c:pt>
                <c:pt idx="255">
                  <c:v>221.44671082573976</c:v>
                </c:pt>
                <c:pt idx="256">
                  <c:v>224.21479457676725</c:v>
                </c:pt>
                <c:pt idx="257">
                  <c:v>226.97279759702147</c:v>
                </c:pt>
                <c:pt idx="258">
                  <c:v>229.72090554785004</c:v>
                </c:pt>
                <c:pt idx="259">
                  <c:v>232.45930081785994</c:v>
                </c:pt>
                <c:pt idx="260">
                  <c:v>235.18816261066081</c:v>
                </c:pt>
                <c:pt idx="261">
                  <c:v>237.90766702954863</c:v>
                </c:pt>
                <c:pt idx="262">
                  <c:v>240.61798715923723</c:v>
                </c:pt>
                <c:pt idx="263">
                  <c:v>243.31929314473913</c:v>
                </c:pt>
                <c:pt idx="264">
                  <c:v>246.01175226749098</c:v>
                </c:pt>
                <c:pt idx="265">
                  <c:v>248.69552901881411</c:v>
                </c:pt>
                <c:pt idx="266">
                  <c:v>251.37078517079479</c:v>
                </c:pt>
                <c:pt idx="267">
                  <c:v>254.03767984466367</c:v>
                </c:pt>
                <c:pt idx="268">
                  <c:v>256.69636957674936</c:v>
                </c:pt>
                <c:pt idx="269">
                  <c:v>259.34700838207573</c:v>
                </c:pt>
                <c:pt idx="270">
                  <c:v>261.98974781566773</c:v>
                </c:pt>
                <c:pt idx="271">
                  <c:v>264.6247370316263</c:v>
                </c:pt>
                <c:pt idx="272">
                  <c:v>267.25212284002822</c:v>
                </c:pt>
                <c:pt idx="273">
                  <c:v>269.87204976170165</c:v>
                </c:pt>
                <c:pt idx="274">
                  <c:v>272.48466008092487</c:v>
                </c:pt>
                <c:pt idx="275">
                  <c:v>275.09009389608963</c:v>
                </c:pt>
                <c:pt idx="276">
                  <c:v>277.68848916836788</c:v>
                </c:pt>
                <c:pt idx="277">
                  <c:v>280.27998176841476</c:v>
                </c:pt>
                <c:pt idx="278">
                  <c:v>282.86470552113684</c:v>
                </c:pt>
                <c:pt idx="279">
                  <c:v>285.4427922485504</c:v>
                </c:pt>
                <c:pt idx="280">
                  <c:v>288.01437181074897</c:v>
                </c:pt>
                <c:pt idx="281">
                  <c:v>290.57957214499595</c:v>
                </c:pt>
                <c:pt idx="282">
                  <c:v>293.13851930295192</c:v>
                </c:pt>
                <c:pt idx="283">
                  <c:v>295.69133748604253</c:v>
                </c:pt>
                <c:pt idx="284">
                  <c:v>298.2381490789669</c:v>
                </c:pt>
                <c:pt idx="285">
                  <c:v>300.77907468134134</c:v>
                </c:pt>
                <c:pt idx="286">
                  <c:v>303.31423313746836</c:v>
                </c:pt>
                <c:pt idx="287">
                  <c:v>305.84374156421381</c:v>
                </c:pt>
                <c:pt idx="288">
                  <c:v>308.36771537697035</c:v>
                </c:pt>
                <c:pt idx="289">
                  <c:v>310.88626831367822</c:v>
                </c:pt>
                <c:pt idx="290">
                  <c:v>313.39951245686785</c:v>
                </c:pt>
                <c:pt idx="291">
                  <c:v>315.9075582536824</c:v>
                </c:pt>
                <c:pt idx="292">
                  <c:v>318.41051453382943</c:v>
                </c:pt>
                <c:pt idx="293">
                  <c:v>320.90848852540512</c:v>
                </c:pt>
                <c:pt idx="294">
                  <c:v>323.40158586852471</c:v>
                </c:pt>
                <c:pt idx="295">
                  <c:v>325.88991062668418</c:v>
                </c:pt>
                <c:pt idx="296">
                  <c:v>328.37356529577045</c:v>
                </c:pt>
                <c:pt idx="297">
                  <c:v>330.85265081062596</c:v>
                </c:pt>
                <c:pt idx="298">
                  <c:v>333.32726654906469</c:v>
                </c:pt>
                <c:pt idx="299">
                  <c:v>335.7975103332256</c:v>
                </c:pt>
                <c:pt idx="300">
                  <c:v>338.26347842813885</c:v>
                </c:pt>
                <c:pt idx="301">
                  <c:v>340.72526553736867</c:v>
                </c:pt>
                <c:pt idx="302">
                  <c:v>343.18296479558546</c:v>
                </c:pt>
                <c:pt idx="303">
                  <c:v>345.63666775790836</c:v>
                </c:pt>
                <c:pt idx="304">
                  <c:v>348.08646438584742</c:v>
                </c:pt>
                <c:pt idx="305">
                  <c:v>350.53244302966425</c:v>
                </c:pt>
                <c:pt idx="306">
                  <c:v>352.97469040695887</c:v>
                </c:pt>
                <c:pt idx="307">
                  <c:v>355.41329157728177</c:v>
                </c:pt>
                <c:pt idx="308">
                  <c:v>357.84832991256138</c:v>
                </c:pt>
                <c:pt idx="309">
                  <c:v>360.27988706313312</c:v>
                </c:pt>
                <c:pt idx="310">
                  <c:v>362.70804291915249</c:v>
                </c:pt>
                <c:pt idx="311">
                  <c:v>365.13287556717682</c:v>
                </c:pt>
                <c:pt idx="312">
                  <c:v>367.55446124170669</c:v>
                </c:pt>
                <c:pt idx="313">
                  <c:v>369.97287427149166</c:v>
                </c:pt>
                <c:pt idx="314">
                  <c:v>372.3881870204259</c:v>
                </c:pt>
                <c:pt idx="315">
                  <c:v>374.80046982289053</c:v>
                </c:pt>
                <c:pt idx="316">
                  <c:v>377.20979091344225</c:v>
                </c:pt>
                <c:pt idx="317">
                  <c:v>379.61621635080508</c:v>
                </c:pt>
                <c:pt idx="318">
                  <c:v>382.01980993619424</c:v>
                </c:pt>
                <c:pt idx="319">
                  <c:v>384.42063312609213</c:v>
                </c:pt>
                <c:pt idx="320">
                  <c:v>386.81874493970764</c:v>
                </c:pt>
                <c:pt idx="321">
                  <c:v>389.21420186148038</c:v>
                </c:pt>
                <c:pt idx="322">
                  <c:v>391.60705773914646</c:v>
                </c:pt>
                <c:pt idx="323">
                  <c:v>393.99736367805593</c:v>
                </c:pt>
                <c:pt idx="324">
                  <c:v>396.38516793262505</c:v>
                </c:pt>
                <c:pt idx="325">
                  <c:v>398.77051579601499</c:v>
                </c:pt>
                <c:pt idx="326">
                  <c:v>401.15344948934433</c:v>
                </c:pt>
                <c:pt idx="327">
                  <c:v>403.53400805195719</c:v>
                </c:pt>
                <c:pt idx="328">
                  <c:v>405.91222723447271</c:v>
                </c:pt>
                <c:pt idx="329">
                  <c:v>408.28813939651735</c:v>
                </c:pt>
                <c:pt idx="330">
                  <c:v>410.66177341117674</c:v>
                </c:pt>
                <c:pt idx="331">
                  <c:v>413.03315457828205</c:v>
                </c:pt>
                <c:pt idx="332">
                  <c:v>415.40230454865116</c:v>
                </c:pt>
                <c:pt idx="333">
                  <c:v>417.76924126132712</c:v>
                </c:pt>
                <c:pt idx="334">
                  <c:v>420.1339788956879</c:v>
                </c:pt>
                <c:pt idx="335">
                  <c:v>422.4965278400399</c:v>
                </c:pt>
                <c:pt idx="336">
                  <c:v>424.85689467796237</c:v>
                </c:pt>
                <c:pt idx="337">
                  <c:v>427.21508219325358</c:v>
                </c:pt>
                <c:pt idx="338">
                  <c:v>429.57108939386245</c:v>
                </c:pt>
                <c:pt idx="339">
                  <c:v>431.92491155470037</c:v>
                </c:pt>
                <c:pt idx="340">
                  <c:v>434.27654027874308</c:v>
                </c:pt>
                <c:pt idx="341">
                  <c:v>436.62596357538195</c:v>
                </c:pt>
                <c:pt idx="342">
                  <c:v>438.97316595459102</c:v>
                </c:pt>
                <c:pt idx="343">
                  <c:v>441.31812853516192</c:v>
                </c:pt>
                <c:pt idx="344">
                  <c:v>443.66082916503166</c:v>
                </c:pt>
                <c:pt idx="345">
                  <c:v>446.0012425515975</c:v>
                </c:pt>
                <c:pt idx="346">
                  <c:v>448.33934039986877</c:v>
                </c:pt>
                <c:pt idx="347">
                  <c:v>450.67509155634542</c:v>
                </c:pt>
                <c:pt idx="348">
                  <c:v>453.00846215661795</c:v>
                </c:pt>
                <c:pt idx="349">
                  <c:v>455.33941577484262</c:v>
                </c:pt>
                <c:pt idx="350">
                  <c:v>457.66791357343931</c:v>
                </c:pt>
                <c:pt idx="351">
                  <c:v>459.99391445157443</c:v>
                </c:pt>
                <c:pt idx="352">
                  <c:v>462.3173751912143</c:v>
                </c:pt>
                <c:pt idx="353">
                  <c:v>464.63825059975306</c:v>
                </c:pt>
                <c:pt idx="354">
                  <c:v>466.9564936484274</c:v>
                </c:pt>
                <c:pt idx="355">
                  <c:v>469.27205560592012</c:v>
                </c:pt>
                <c:pt idx="356">
                  <c:v>471.58488616672554</c:v>
                </c:pt>
                <c:pt idx="357">
                  <c:v>473.89493357399624</c:v>
                </c:pt>
                <c:pt idx="358">
                  <c:v>476.2021447367166</c:v>
                </c:pt>
                <c:pt idx="359">
                  <c:v>478.50646534115293</c:v>
                </c:pt>
                <c:pt idx="360">
                  <c:v>480.80783995661329</c:v>
                </c:pt>
                <c:pt idx="361">
                  <c:v>483.10621213561745</c:v>
                </c:pt>
                <c:pt idx="362">
                  <c:v>485.40152450862786</c:v>
                </c:pt>
                <c:pt idx="363">
                  <c:v>487.69371887353066</c:v>
                </c:pt>
                <c:pt idx="364">
                  <c:v>489.98273628008189</c:v>
                </c:pt>
                <c:pt idx="365">
                  <c:v>492.26851710955088</c:v>
                </c:pt>
                <c:pt idx="366">
                  <c:v>494.55100114980371</c:v>
                </c:pt>
                <c:pt idx="367">
                  <c:v>496.8301276660722</c:v>
                </c:pt>
                <c:pt idx="368">
                  <c:v>499.10583546765372</c:v>
                </c:pt>
                <c:pt idx="369">
                  <c:v>501.37806297078203</c:v>
                </c:pt>
                <c:pt idx="370">
                  <c:v>503.64674825790337</c:v>
                </c:pt>
                <c:pt idx="371">
                  <c:v>505.91182913358176</c:v>
                </c:pt>
                <c:pt idx="372">
                  <c:v>508.17324317724831</c:v>
                </c:pt>
                <c:pt idx="373">
                  <c:v>510.43092779299786</c:v>
                </c:pt>
                <c:pt idx="374">
                  <c:v>512.68482025662468</c:v>
                </c:pt>
                <c:pt idx="375">
                  <c:v>514.93485776007765</c:v>
                </c:pt>
                <c:pt idx="376">
                  <c:v>517.18097745350474</c:v>
                </c:pt>
                <c:pt idx="377">
                  <c:v>519.42311648504301</c:v>
                </c:pt>
                <c:pt idx="378">
                  <c:v>521.66121203850309</c:v>
                </c:pt>
                <c:pt idx="379">
                  <c:v>523.895201369083</c:v>
                </c:pt>
                <c:pt idx="380">
                  <c:v>526.12502183723939</c:v>
                </c:pt>
                <c:pt idx="381">
                  <c:v>528.35061094083369</c:v>
                </c:pt>
                <c:pt idx="382">
                  <c:v>530.571906345662</c:v>
                </c:pt>
                <c:pt idx="383">
                  <c:v>532.78884591446888</c:v>
                </c:pt>
                <c:pt idx="384">
                  <c:v>535.00136773453971</c:v>
                </c:pt>
                <c:pt idx="385">
                  <c:v>537.20941014395623</c:v>
                </c:pt>
                <c:pt idx="386">
                  <c:v>539.41291175659615</c:v>
                </c:pt>
                <c:pt idx="387">
                  <c:v>541.61181148594937</c:v>
                </c:pt>
                <c:pt idx="388">
                  <c:v>543.80604856781918</c:v>
                </c:pt>
                <c:pt idx="389">
                  <c:v>545.99556258197163</c:v>
                </c:pt>
                <c:pt idx="390">
                  <c:v>548.18029347279014</c:v>
                </c:pt>
                <c:pt idx="391">
                  <c:v>550.36018156898956</c:v>
                </c:pt>
                <c:pt idx="392">
                  <c:v>552.5351676024394</c:v>
                </c:pt>
                <c:pt idx="393">
                  <c:v>554.70519272614115</c:v>
                </c:pt>
                <c:pt idx="394">
                  <c:v>556.87019853140293</c:v>
                </c:pt>
                <c:pt idx="395">
                  <c:v>559.03012706425091</c:v>
                </c:pt>
                <c:pt idx="396">
                  <c:v>561.18492084111244</c:v>
                </c:pt>
                <c:pt idx="397">
                  <c:v>563.33452286380646</c:v>
                </c:pt>
                <c:pt idx="398">
                  <c:v>565.47887663387121</c:v>
                </c:pt>
                <c:pt idx="399">
                  <c:v>567.61792616625848</c:v>
                </c:pt>
                <c:pt idx="400">
                  <c:v>569.75161600242154</c:v>
                </c:pt>
                <c:pt idx="401">
                  <c:v>571.87989122282204</c:v>
                </c:pt>
                <c:pt idx="402">
                  <c:v>574.00269745887874</c:v>
                </c:pt>
                <c:pt idx="403">
                  <c:v>576.11998090438033</c:v>
                </c:pt>
                <c:pt idx="404">
                  <c:v>578.23168832638169</c:v>
                </c:pt>
                <c:pt idx="405">
                  <c:v>580.33776707560423</c:v>
                </c:pt>
                <c:pt idx="406">
                  <c:v>582.43816509635633</c:v>
                </c:pt>
                <c:pt idx="407">
                  <c:v>584.53283093599111</c:v>
                </c:pt>
                <c:pt idx="408">
                  <c:v>586.62171375391767</c:v>
                </c:pt>
                <c:pt idx="409">
                  <c:v>588.70476333017928</c:v>
                </c:pt>
                <c:pt idx="410">
                  <c:v>590.7819300736129</c:v>
                </c:pt>
                <c:pt idx="411">
                  <c:v>592.85316502960302</c:v>
                </c:pt>
                <c:pt idx="412">
                  <c:v>594.9184198874417</c:v>
                </c:pt>
                <c:pt idx="413">
                  <c:v>596.97764698730623</c:v>
                </c:pt>
                <c:pt idx="414">
                  <c:v>599.03079932686546</c:v>
                </c:pt>
                <c:pt idx="415">
                  <c:v>601.07783056752487</c:v>
                </c:pt>
                <c:pt idx="416">
                  <c:v>603.11869504032052</c:v>
                </c:pt>
                <c:pt idx="417">
                  <c:v>605.15334775147073</c:v>
                </c:pt>
                <c:pt idx="418">
                  <c:v>607.18174438759434</c:v>
                </c:pt>
                <c:pt idx="419">
                  <c:v>609.20384132060406</c:v>
                </c:pt>
                <c:pt idx="420">
                  <c:v>611.21959561228277</c:v>
                </c:pt>
                <c:pt idx="421">
                  <c:v>613.22896501855109</c:v>
                </c:pt>
                <c:pt idx="422">
                  <c:v>615.2319079934324</c:v>
                </c:pt>
                <c:pt idx="423">
                  <c:v>617.22838369272313</c:v>
                </c:pt>
                <c:pt idx="424">
                  <c:v>619.21835197737505</c:v>
                </c:pt>
                <c:pt idx="425">
                  <c:v>621.20177341659621</c:v>
                </c:pt>
                <c:pt idx="426">
                  <c:v>623.17860929067581</c:v>
                </c:pt>
                <c:pt idx="427">
                  <c:v>625.14882159354079</c:v>
                </c:pt>
                <c:pt idx="428">
                  <c:v>627.11237303504856</c:v>
                </c:pt>
                <c:pt idx="429">
                  <c:v>629.06922704302178</c:v>
                </c:pt>
                <c:pt idx="430">
                  <c:v>631.01934776503185</c:v>
                </c:pt>
                <c:pt idx="431">
                  <c:v>632.96270006993484</c:v>
                </c:pt>
                <c:pt idx="432">
                  <c:v>634.89924954916671</c:v>
                </c:pt>
                <c:pt idx="433">
                  <c:v>636.8289625178013</c:v>
                </c:pt>
                <c:pt idx="434">
                  <c:v>638.7518060153775</c:v>
                </c:pt>
                <c:pt idx="435">
                  <c:v>640.66774780649973</c:v>
                </c:pt>
                <c:pt idx="436">
                  <c:v>642.57675638121657</c:v>
                </c:pt>
                <c:pt idx="437">
                  <c:v>644.47880095518246</c:v>
                </c:pt>
                <c:pt idx="438">
                  <c:v>646.37385146960651</c:v>
                </c:pt>
                <c:pt idx="439">
                  <c:v>648.26187859099377</c:v>
                </c:pt>
                <c:pt idx="440">
                  <c:v>650.1428537106824</c:v>
                </c:pt>
                <c:pt idx="441">
                  <c:v>652.01674894418204</c:v>
                </c:pt>
                <c:pt idx="442">
                  <c:v>653.88353713031711</c:v>
                </c:pt>
                <c:pt idx="443">
                  <c:v>655.74319183017883</c:v>
                </c:pt>
                <c:pt idx="444">
                  <c:v>657.59568732589162</c:v>
                </c:pt>
                <c:pt idx="445">
                  <c:v>659.44099861919597</c:v>
                </c:pt>
                <c:pt idx="446">
                  <c:v>661.27910142985365</c:v>
                </c:pt>
                <c:pt idx="447">
                  <c:v>663.10997219387821</c:v>
                </c:pt>
                <c:pt idx="448">
                  <c:v>664.93358806159483</c:v>
                </c:pt>
                <c:pt idx="449">
                  <c:v>666.74992689553392</c:v>
                </c:pt>
                <c:pt idx="450">
                  <c:v>668.55896726816172</c:v>
                </c:pt>
                <c:pt idx="451">
                  <c:v>670.36068845945249</c:v>
                </c:pt>
                <c:pt idx="452">
                  <c:v>672.15507045430502</c:v>
                </c:pt>
                <c:pt idx="453">
                  <c:v>673.94209393980827</c:v>
                </c:pt>
                <c:pt idx="454">
                  <c:v>675.72174030235942</c:v>
                </c:pt>
                <c:pt idx="455">
                  <c:v>677.49399162463749</c:v>
                </c:pt>
                <c:pt idx="456">
                  <c:v>679.25883068243729</c:v>
                </c:pt>
                <c:pt idx="457">
                  <c:v>681.01624094136662</c:v>
                </c:pt>
                <c:pt idx="458">
                  <c:v>682.76620655340992</c:v>
                </c:pt>
                <c:pt idx="459">
                  <c:v>684.50871235336297</c:v>
                </c:pt>
                <c:pt idx="460">
                  <c:v>686.24374385514125</c:v>
                </c:pt>
                <c:pt idx="461">
                  <c:v>687.97128724796585</c:v>
                </c:pt>
                <c:pt idx="462">
                  <c:v>689.69132939243048</c:v>
                </c:pt>
                <c:pt idx="463">
                  <c:v>691.40385781645261</c:v>
                </c:pt>
                <c:pt idx="464">
                  <c:v>693.10886071111258</c:v>
                </c:pt>
                <c:pt idx="465">
                  <c:v>694.80632692638358</c:v>
                </c:pt>
                <c:pt idx="466">
                  <c:v>696.49624596675631</c:v>
                </c:pt>
                <c:pt idx="467">
                  <c:v>698.17860798676145</c:v>
                </c:pt>
                <c:pt idx="468">
                  <c:v>699.85340378639307</c:v>
                </c:pt>
                <c:pt idx="469">
                  <c:v>701.5206248064361</c:v>
                </c:pt>
                <c:pt idx="470">
                  <c:v>703.18026312370148</c:v>
                </c:pt>
                <c:pt idx="471">
                  <c:v>704.8323114461723</c:v>
                </c:pt>
                <c:pt idx="472">
                  <c:v>706.4767631080631</c:v>
                </c:pt>
                <c:pt idx="473">
                  <c:v>708.11361206479671</c:v>
                </c:pt>
                <c:pt idx="474">
                  <c:v>709.74285288790054</c:v>
                </c:pt>
                <c:pt idx="475">
                  <c:v>711.36448075982639</c:v>
                </c:pt>
                <c:pt idx="476">
                  <c:v>712.97849146869612</c:v>
                </c:pt>
                <c:pt idx="477">
                  <c:v>714.58488140297641</c:v>
                </c:pt>
                <c:pt idx="478">
                  <c:v>716.18364754608547</c:v>
                </c:pt>
                <c:pt idx="479">
                  <c:v>717.77478747093494</c:v>
                </c:pt>
                <c:pt idx="480">
                  <c:v>719.35829933440914</c:v>
                </c:pt>
                <c:pt idx="481">
                  <c:v>720.93418187178543</c:v>
                </c:pt>
                <c:pt idx="482">
                  <c:v>722.50243439109784</c:v>
                </c:pt>
                <c:pt idx="483">
                  <c:v>724.06305676744671</c:v>
                </c:pt>
                <c:pt idx="484">
                  <c:v>725.61604943725797</c:v>
                </c:pt>
                <c:pt idx="485">
                  <c:v>727.1614133924935</c:v>
                </c:pt>
                <c:pt idx="486">
                  <c:v>728.69915017481594</c:v>
                </c:pt>
                <c:pt idx="487">
                  <c:v>730.22926186971074</c:v>
                </c:pt>
                <c:pt idx="488">
                  <c:v>731.75175110056784</c:v>
                </c:pt>
                <c:pt idx="489">
                  <c:v>733.26662102272508</c:v>
                </c:pt>
                <c:pt idx="490">
                  <c:v>734.77387531747661</c:v>
                </c:pt>
                <c:pt idx="491">
                  <c:v>736.2735181860487</c:v>
                </c:pt>
                <c:pt idx="492">
                  <c:v>737.76555434354441</c:v>
                </c:pt>
                <c:pt idx="493">
                  <c:v>739.24998901286108</c:v>
                </c:pt>
                <c:pt idx="494">
                  <c:v>740.72682791858165</c:v>
                </c:pt>
                <c:pt idx="495">
                  <c:v>742.19607728084293</c:v>
                </c:pt>
                <c:pt idx="496">
                  <c:v>743.65774380918288</c:v>
                </c:pt>
                <c:pt idx="497">
                  <c:v>745.1118346963691</c:v>
                </c:pt>
                <c:pt idx="498">
                  <c:v>746.55835761221078</c:v>
                </c:pt>
                <c:pt idx="499">
                  <c:v>747.99732069735626</c:v>
                </c:pt>
                <c:pt idx="500">
                  <c:v>749.42873255707855</c:v>
                </c:pt>
                <c:pt idx="501">
                  <c:v>750.85260225505067</c:v>
                </c:pt>
                <c:pt idx="502">
                  <c:v>752.26893930711276</c:v>
                </c:pt>
                <c:pt idx="503">
                  <c:v>753.67775367503327</c:v>
                </c:pt>
                <c:pt idx="504">
                  <c:v>755.07905576026621</c:v>
                </c:pt>
                <c:pt idx="505">
                  <c:v>756.47285639770621</c:v>
                </c:pt>
                <c:pt idx="506">
                  <c:v>757.85916684944311</c:v>
                </c:pt>
                <c:pt idx="507">
                  <c:v>759.23799879851856</c:v>
                </c:pt>
                <c:pt idx="508">
                  <c:v>760.60936434268592</c:v>
                </c:pt>
                <c:pt idx="509">
                  <c:v>761.97327598817537</c:v>
                </c:pt>
                <c:pt idx="510">
                  <c:v>763.32974664346591</c:v>
                </c:pt>
                <c:pt idx="511">
                  <c:v>764.67878961306644</c:v>
                </c:pt>
                <c:pt idx="512">
                  <c:v>764.67878961306644</c:v>
                </c:pt>
                <c:pt idx="513">
                  <c:v>764.67878961306644</c:v>
                </c:pt>
                <c:pt idx="514">
                  <c:v>764.67878961306644</c:v>
                </c:pt>
                <c:pt idx="515">
                  <c:v>764.67878961306644</c:v>
                </c:pt>
                <c:pt idx="516">
                  <c:v>764.67878961306644</c:v>
                </c:pt>
                <c:pt idx="517">
                  <c:v>764.67878961306644</c:v>
                </c:pt>
                <c:pt idx="518">
                  <c:v>764.67878961306644</c:v>
                </c:pt>
                <c:pt idx="519">
                  <c:v>764.67878961306644</c:v>
                </c:pt>
                <c:pt idx="520">
                  <c:v>764.67878961306644</c:v>
                </c:pt>
                <c:pt idx="521">
                  <c:v>764.67878961306644</c:v>
                </c:pt>
                <c:pt idx="522">
                  <c:v>764.67878961306644</c:v>
                </c:pt>
                <c:pt idx="523">
                  <c:v>764.67878961306644</c:v>
                </c:pt>
                <c:pt idx="524">
                  <c:v>764.67878961306644</c:v>
                </c:pt>
                <c:pt idx="525">
                  <c:v>764.67878961306644</c:v>
                </c:pt>
                <c:pt idx="526">
                  <c:v>764.67878961306644</c:v>
                </c:pt>
                <c:pt idx="527">
                  <c:v>764.67878961306644</c:v>
                </c:pt>
                <c:pt idx="528">
                  <c:v>764.67878961306644</c:v>
                </c:pt>
                <c:pt idx="529">
                  <c:v>764.67878961306644</c:v>
                </c:pt>
                <c:pt idx="530">
                  <c:v>764.67878961306644</c:v>
                </c:pt>
                <c:pt idx="531">
                  <c:v>764.67878961306644</c:v>
                </c:pt>
                <c:pt idx="532">
                  <c:v>764.67878961306644</c:v>
                </c:pt>
                <c:pt idx="533">
                  <c:v>764.67878961306644</c:v>
                </c:pt>
                <c:pt idx="534">
                  <c:v>764.67878961306644</c:v>
                </c:pt>
                <c:pt idx="535">
                  <c:v>764.67878961306644</c:v>
                </c:pt>
                <c:pt idx="536">
                  <c:v>764.67878961306644</c:v>
                </c:pt>
                <c:pt idx="537">
                  <c:v>764.67878961306644</c:v>
                </c:pt>
                <c:pt idx="538">
                  <c:v>764.67878961306644</c:v>
                </c:pt>
                <c:pt idx="539">
                  <c:v>764.67878961306644</c:v>
                </c:pt>
                <c:pt idx="540">
                  <c:v>764.67878961306644</c:v>
                </c:pt>
                <c:pt idx="541">
                  <c:v>764.67878961306644</c:v>
                </c:pt>
                <c:pt idx="542">
                  <c:v>764.67878961306644</c:v>
                </c:pt>
                <c:pt idx="543">
                  <c:v>764.67878961306644</c:v>
                </c:pt>
                <c:pt idx="544">
                  <c:v>764.67878961306644</c:v>
                </c:pt>
                <c:pt idx="545">
                  <c:v>764.67878961306644</c:v>
                </c:pt>
                <c:pt idx="546">
                  <c:v>764.67878961306644</c:v>
                </c:pt>
                <c:pt idx="547">
                  <c:v>764.67878961306644</c:v>
                </c:pt>
                <c:pt idx="548">
                  <c:v>764.67878961306644</c:v>
                </c:pt>
                <c:pt idx="549">
                  <c:v>764.67878961306644</c:v>
                </c:pt>
                <c:pt idx="550">
                  <c:v>764.67878961306644</c:v>
                </c:pt>
                <c:pt idx="551">
                  <c:v>764.67878961306644</c:v>
                </c:pt>
                <c:pt idx="552">
                  <c:v>764.67878961306644</c:v>
                </c:pt>
                <c:pt idx="553">
                  <c:v>764.67878961306644</c:v>
                </c:pt>
                <c:pt idx="554">
                  <c:v>764.67878961306644</c:v>
                </c:pt>
                <c:pt idx="555">
                  <c:v>764.67878961306644</c:v>
                </c:pt>
                <c:pt idx="556">
                  <c:v>764.67878961306644</c:v>
                </c:pt>
                <c:pt idx="557">
                  <c:v>764.67878961306644</c:v>
                </c:pt>
                <c:pt idx="558">
                  <c:v>764.67878961306644</c:v>
                </c:pt>
                <c:pt idx="559">
                  <c:v>764.67878961306644</c:v>
                </c:pt>
                <c:pt idx="560">
                  <c:v>764.67878961306644</c:v>
                </c:pt>
                <c:pt idx="561">
                  <c:v>764.67878961306644</c:v>
                </c:pt>
                <c:pt idx="562">
                  <c:v>764.67878961306644</c:v>
                </c:pt>
                <c:pt idx="563">
                  <c:v>764.67878961306644</c:v>
                </c:pt>
                <c:pt idx="564">
                  <c:v>764.67878961306644</c:v>
                </c:pt>
                <c:pt idx="565">
                  <c:v>764.67878961306644</c:v>
                </c:pt>
                <c:pt idx="566">
                  <c:v>764.67878961306644</c:v>
                </c:pt>
                <c:pt idx="567">
                  <c:v>764.67878961306644</c:v>
                </c:pt>
                <c:pt idx="568">
                  <c:v>764.67878961306644</c:v>
                </c:pt>
                <c:pt idx="569">
                  <c:v>764.67878961306644</c:v>
                </c:pt>
                <c:pt idx="570">
                  <c:v>764.67878961306644</c:v>
                </c:pt>
                <c:pt idx="571">
                  <c:v>764.67878961306644</c:v>
                </c:pt>
                <c:pt idx="572">
                  <c:v>764.67878961306644</c:v>
                </c:pt>
                <c:pt idx="573">
                  <c:v>764.67878961306644</c:v>
                </c:pt>
                <c:pt idx="574">
                  <c:v>764.67878961306644</c:v>
                </c:pt>
                <c:pt idx="575">
                  <c:v>764.67878961306644</c:v>
                </c:pt>
                <c:pt idx="576">
                  <c:v>764.67878961306644</c:v>
                </c:pt>
                <c:pt idx="577">
                  <c:v>764.67878961306644</c:v>
                </c:pt>
                <c:pt idx="578">
                  <c:v>764.67878961306644</c:v>
                </c:pt>
                <c:pt idx="579">
                  <c:v>764.67878961306644</c:v>
                </c:pt>
                <c:pt idx="580">
                  <c:v>764.67878961306644</c:v>
                </c:pt>
                <c:pt idx="581">
                  <c:v>764.67878961306644</c:v>
                </c:pt>
                <c:pt idx="582">
                  <c:v>764.67878961306644</c:v>
                </c:pt>
                <c:pt idx="583">
                  <c:v>764.67878961306644</c:v>
                </c:pt>
                <c:pt idx="584">
                  <c:v>764.67878961306644</c:v>
                </c:pt>
                <c:pt idx="585">
                  <c:v>764.67878961306644</c:v>
                </c:pt>
                <c:pt idx="586">
                  <c:v>764.67878961306644</c:v>
                </c:pt>
                <c:pt idx="587">
                  <c:v>764.67878961306644</c:v>
                </c:pt>
                <c:pt idx="588">
                  <c:v>764.67878961306644</c:v>
                </c:pt>
                <c:pt idx="589">
                  <c:v>764.67878961306644</c:v>
                </c:pt>
                <c:pt idx="590">
                  <c:v>764.67878961306644</c:v>
                </c:pt>
                <c:pt idx="591">
                  <c:v>764.67878961306644</c:v>
                </c:pt>
                <c:pt idx="592">
                  <c:v>764.67878961306644</c:v>
                </c:pt>
                <c:pt idx="593">
                  <c:v>764.67878961306644</c:v>
                </c:pt>
                <c:pt idx="594">
                  <c:v>764.67878961306644</c:v>
                </c:pt>
                <c:pt idx="595">
                  <c:v>764.67878961306644</c:v>
                </c:pt>
                <c:pt idx="596">
                  <c:v>764.67878961306644</c:v>
                </c:pt>
                <c:pt idx="597">
                  <c:v>764.67878961306644</c:v>
                </c:pt>
                <c:pt idx="598">
                  <c:v>764.67878961306644</c:v>
                </c:pt>
                <c:pt idx="599">
                  <c:v>764.67878961306644</c:v>
                </c:pt>
                <c:pt idx="600">
                  <c:v>764.67878961306644</c:v>
                </c:pt>
                <c:pt idx="601">
                  <c:v>764.67878961306644</c:v>
                </c:pt>
                <c:pt idx="602">
                  <c:v>764.67878961306644</c:v>
                </c:pt>
                <c:pt idx="603">
                  <c:v>764.67878961306644</c:v>
                </c:pt>
                <c:pt idx="604">
                  <c:v>764.67878961306644</c:v>
                </c:pt>
                <c:pt idx="605">
                  <c:v>764.67878961306644</c:v>
                </c:pt>
                <c:pt idx="606">
                  <c:v>764.67878961306644</c:v>
                </c:pt>
                <c:pt idx="607">
                  <c:v>764.67878961306644</c:v>
                </c:pt>
                <c:pt idx="608">
                  <c:v>764.67878961306644</c:v>
                </c:pt>
                <c:pt idx="609">
                  <c:v>764.67878961306644</c:v>
                </c:pt>
                <c:pt idx="610">
                  <c:v>764.67878961306644</c:v>
                </c:pt>
                <c:pt idx="611">
                  <c:v>764.67878961306644</c:v>
                </c:pt>
                <c:pt idx="612">
                  <c:v>764.67878961306644</c:v>
                </c:pt>
                <c:pt idx="613">
                  <c:v>764.67878961306644</c:v>
                </c:pt>
                <c:pt idx="614">
                  <c:v>764.67878961306644</c:v>
                </c:pt>
                <c:pt idx="615">
                  <c:v>764.67878961306644</c:v>
                </c:pt>
                <c:pt idx="616">
                  <c:v>764.67878961306644</c:v>
                </c:pt>
                <c:pt idx="617">
                  <c:v>764.67878961306644</c:v>
                </c:pt>
                <c:pt idx="618">
                  <c:v>764.67878961306644</c:v>
                </c:pt>
                <c:pt idx="619">
                  <c:v>764.67878961306644</c:v>
                </c:pt>
                <c:pt idx="620">
                  <c:v>764.67878961306644</c:v>
                </c:pt>
                <c:pt idx="621">
                  <c:v>764.67878961306644</c:v>
                </c:pt>
                <c:pt idx="622">
                  <c:v>764.67878961306644</c:v>
                </c:pt>
                <c:pt idx="623">
                  <c:v>764.67878961306644</c:v>
                </c:pt>
                <c:pt idx="624">
                  <c:v>764.67878961306644</c:v>
                </c:pt>
                <c:pt idx="625">
                  <c:v>764.67878961306644</c:v>
                </c:pt>
                <c:pt idx="626">
                  <c:v>764.67878961306644</c:v>
                </c:pt>
                <c:pt idx="627">
                  <c:v>764.67878961306644</c:v>
                </c:pt>
                <c:pt idx="628">
                  <c:v>764.67878961306644</c:v>
                </c:pt>
                <c:pt idx="629">
                  <c:v>764.67878961306644</c:v>
                </c:pt>
                <c:pt idx="630">
                  <c:v>764.67878961306644</c:v>
                </c:pt>
                <c:pt idx="631">
                  <c:v>764.67878961306644</c:v>
                </c:pt>
                <c:pt idx="632">
                  <c:v>764.67878961306644</c:v>
                </c:pt>
                <c:pt idx="633">
                  <c:v>764.67878961306644</c:v>
                </c:pt>
                <c:pt idx="634">
                  <c:v>764.67878961306644</c:v>
                </c:pt>
                <c:pt idx="635">
                  <c:v>764.67878961306644</c:v>
                </c:pt>
                <c:pt idx="636">
                  <c:v>764.67878961306644</c:v>
                </c:pt>
                <c:pt idx="637">
                  <c:v>764.67878961306644</c:v>
                </c:pt>
                <c:pt idx="638">
                  <c:v>764.67878961306644</c:v>
                </c:pt>
                <c:pt idx="639">
                  <c:v>764.67878961306644</c:v>
                </c:pt>
                <c:pt idx="640">
                  <c:v>764.67878961306644</c:v>
                </c:pt>
                <c:pt idx="641">
                  <c:v>764.67878961306644</c:v>
                </c:pt>
                <c:pt idx="642">
                  <c:v>764.67878961306644</c:v>
                </c:pt>
                <c:pt idx="643">
                  <c:v>764.67878961306644</c:v>
                </c:pt>
                <c:pt idx="644">
                  <c:v>764.67878961306644</c:v>
                </c:pt>
                <c:pt idx="645">
                  <c:v>764.67878961306644</c:v>
                </c:pt>
                <c:pt idx="646">
                  <c:v>764.67878961306644</c:v>
                </c:pt>
                <c:pt idx="647">
                  <c:v>764.67878961306644</c:v>
                </c:pt>
                <c:pt idx="648">
                  <c:v>764.67878961306644</c:v>
                </c:pt>
                <c:pt idx="649">
                  <c:v>764.67878961306644</c:v>
                </c:pt>
                <c:pt idx="650">
                  <c:v>764.67878961306644</c:v>
                </c:pt>
                <c:pt idx="651">
                  <c:v>764.67878961306644</c:v>
                </c:pt>
                <c:pt idx="652">
                  <c:v>764.67878961306644</c:v>
                </c:pt>
                <c:pt idx="653">
                  <c:v>764.67878961306644</c:v>
                </c:pt>
                <c:pt idx="654">
                  <c:v>764.67878961306644</c:v>
                </c:pt>
                <c:pt idx="655">
                  <c:v>764.67878961306644</c:v>
                </c:pt>
                <c:pt idx="656">
                  <c:v>764.67878961306644</c:v>
                </c:pt>
                <c:pt idx="657">
                  <c:v>764.67878961306644</c:v>
                </c:pt>
                <c:pt idx="658">
                  <c:v>764.67878961306644</c:v>
                </c:pt>
                <c:pt idx="659">
                  <c:v>764.67878961306644</c:v>
                </c:pt>
                <c:pt idx="660">
                  <c:v>764.67878961306644</c:v>
                </c:pt>
                <c:pt idx="661">
                  <c:v>764.67878961306644</c:v>
                </c:pt>
                <c:pt idx="662">
                  <c:v>764.67878961306644</c:v>
                </c:pt>
                <c:pt idx="663">
                  <c:v>764.67878961306644</c:v>
                </c:pt>
                <c:pt idx="664">
                  <c:v>764.67878961306644</c:v>
                </c:pt>
                <c:pt idx="665">
                  <c:v>764.67878961306644</c:v>
                </c:pt>
                <c:pt idx="666">
                  <c:v>764.67878961306644</c:v>
                </c:pt>
                <c:pt idx="667">
                  <c:v>764.67878961306644</c:v>
                </c:pt>
                <c:pt idx="668">
                  <c:v>764.67878961306644</c:v>
                </c:pt>
                <c:pt idx="669">
                  <c:v>764.67878961306644</c:v>
                </c:pt>
                <c:pt idx="670">
                  <c:v>764.67878961306644</c:v>
                </c:pt>
                <c:pt idx="671">
                  <c:v>764.67878961306644</c:v>
                </c:pt>
                <c:pt idx="672">
                  <c:v>764.67878961306644</c:v>
                </c:pt>
                <c:pt idx="673">
                  <c:v>764.67878961306644</c:v>
                </c:pt>
                <c:pt idx="674">
                  <c:v>764.67878961306644</c:v>
                </c:pt>
                <c:pt idx="675">
                  <c:v>764.67878961306644</c:v>
                </c:pt>
                <c:pt idx="676">
                  <c:v>764.67878961306644</c:v>
                </c:pt>
                <c:pt idx="677">
                  <c:v>764.67878961306644</c:v>
                </c:pt>
                <c:pt idx="678">
                  <c:v>764.67878961306644</c:v>
                </c:pt>
                <c:pt idx="679">
                  <c:v>764.67878961306644</c:v>
                </c:pt>
                <c:pt idx="680">
                  <c:v>764.67878961306644</c:v>
                </c:pt>
                <c:pt idx="681">
                  <c:v>764.67878961306644</c:v>
                </c:pt>
                <c:pt idx="682">
                  <c:v>764.67878961306644</c:v>
                </c:pt>
                <c:pt idx="683">
                  <c:v>764.67878961306644</c:v>
                </c:pt>
                <c:pt idx="684">
                  <c:v>764.67878961306644</c:v>
                </c:pt>
                <c:pt idx="685">
                  <c:v>764.67878961306644</c:v>
                </c:pt>
                <c:pt idx="686">
                  <c:v>764.67878961306644</c:v>
                </c:pt>
                <c:pt idx="687">
                  <c:v>764.67878961306644</c:v>
                </c:pt>
                <c:pt idx="688">
                  <c:v>764.67878961306644</c:v>
                </c:pt>
                <c:pt idx="689">
                  <c:v>764.67878961306644</c:v>
                </c:pt>
                <c:pt idx="690">
                  <c:v>764.67878961306644</c:v>
                </c:pt>
                <c:pt idx="691">
                  <c:v>764.67878961306644</c:v>
                </c:pt>
                <c:pt idx="692">
                  <c:v>764.67878961306644</c:v>
                </c:pt>
                <c:pt idx="693">
                  <c:v>764.67878961306644</c:v>
                </c:pt>
                <c:pt idx="694">
                  <c:v>764.67878961306644</c:v>
                </c:pt>
                <c:pt idx="695">
                  <c:v>764.67878961306644</c:v>
                </c:pt>
                <c:pt idx="696">
                  <c:v>764.67878961306644</c:v>
                </c:pt>
                <c:pt idx="697">
                  <c:v>764.67878961306644</c:v>
                </c:pt>
                <c:pt idx="698">
                  <c:v>764.67878961306644</c:v>
                </c:pt>
                <c:pt idx="699">
                  <c:v>764.67878961306644</c:v>
                </c:pt>
                <c:pt idx="700">
                  <c:v>764.67878961306644</c:v>
                </c:pt>
                <c:pt idx="701">
                  <c:v>764.67878961306644</c:v>
                </c:pt>
                <c:pt idx="702">
                  <c:v>764.67878961306644</c:v>
                </c:pt>
                <c:pt idx="703">
                  <c:v>764.67878961306644</c:v>
                </c:pt>
                <c:pt idx="704">
                  <c:v>764.67878961306644</c:v>
                </c:pt>
                <c:pt idx="705">
                  <c:v>764.67878961306644</c:v>
                </c:pt>
                <c:pt idx="706">
                  <c:v>764.67878961306644</c:v>
                </c:pt>
                <c:pt idx="707">
                  <c:v>764.67878961306644</c:v>
                </c:pt>
                <c:pt idx="708">
                  <c:v>764.67878961306644</c:v>
                </c:pt>
                <c:pt idx="709">
                  <c:v>764.67878961306644</c:v>
                </c:pt>
                <c:pt idx="710">
                  <c:v>764.67878961306644</c:v>
                </c:pt>
                <c:pt idx="711">
                  <c:v>764.67878961306644</c:v>
                </c:pt>
                <c:pt idx="712">
                  <c:v>764.67878961306644</c:v>
                </c:pt>
                <c:pt idx="713">
                  <c:v>764.67878961306644</c:v>
                </c:pt>
                <c:pt idx="714">
                  <c:v>764.67878961306644</c:v>
                </c:pt>
                <c:pt idx="715">
                  <c:v>764.67878961306644</c:v>
                </c:pt>
                <c:pt idx="716">
                  <c:v>764.67878961306644</c:v>
                </c:pt>
                <c:pt idx="717">
                  <c:v>764.67878961306644</c:v>
                </c:pt>
                <c:pt idx="718">
                  <c:v>764.67878961306644</c:v>
                </c:pt>
                <c:pt idx="719">
                  <c:v>764.67878961306644</c:v>
                </c:pt>
                <c:pt idx="720">
                  <c:v>764.67878961306644</c:v>
                </c:pt>
                <c:pt idx="721">
                  <c:v>764.67878961306644</c:v>
                </c:pt>
                <c:pt idx="722">
                  <c:v>764.67878961306644</c:v>
                </c:pt>
                <c:pt idx="723">
                  <c:v>764.67878961306644</c:v>
                </c:pt>
                <c:pt idx="724">
                  <c:v>764.67878961306644</c:v>
                </c:pt>
                <c:pt idx="725">
                  <c:v>764.67878961306644</c:v>
                </c:pt>
                <c:pt idx="726">
                  <c:v>764.67878961306644</c:v>
                </c:pt>
                <c:pt idx="727">
                  <c:v>764.67878961306644</c:v>
                </c:pt>
                <c:pt idx="728">
                  <c:v>764.67878961306644</c:v>
                </c:pt>
                <c:pt idx="729">
                  <c:v>764.67878961306644</c:v>
                </c:pt>
                <c:pt idx="730">
                  <c:v>764.67878961306644</c:v>
                </c:pt>
                <c:pt idx="731">
                  <c:v>764.67878961306644</c:v>
                </c:pt>
                <c:pt idx="732">
                  <c:v>764.67878961306644</c:v>
                </c:pt>
                <c:pt idx="733">
                  <c:v>764.67878961306644</c:v>
                </c:pt>
                <c:pt idx="734">
                  <c:v>764.67878961306644</c:v>
                </c:pt>
                <c:pt idx="735">
                  <c:v>764.67878961306644</c:v>
                </c:pt>
                <c:pt idx="736">
                  <c:v>764.67878961306644</c:v>
                </c:pt>
                <c:pt idx="737">
                  <c:v>764.67878961306644</c:v>
                </c:pt>
                <c:pt idx="738">
                  <c:v>764.67878961306644</c:v>
                </c:pt>
                <c:pt idx="739">
                  <c:v>764.67878961306644</c:v>
                </c:pt>
                <c:pt idx="740">
                  <c:v>764.67878961306644</c:v>
                </c:pt>
                <c:pt idx="741">
                  <c:v>764.67878961306644</c:v>
                </c:pt>
                <c:pt idx="742">
                  <c:v>764.67878961306644</c:v>
                </c:pt>
                <c:pt idx="743">
                  <c:v>764.67878961306644</c:v>
                </c:pt>
                <c:pt idx="744">
                  <c:v>764.67878961306644</c:v>
                </c:pt>
                <c:pt idx="745">
                  <c:v>764.67878961306644</c:v>
                </c:pt>
                <c:pt idx="746">
                  <c:v>764.67878961306644</c:v>
                </c:pt>
                <c:pt idx="747">
                  <c:v>764.67878961306644</c:v>
                </c:pt>
                <c:pt idx="748">
                  <c:v>764.67878961306644</c:v>
                </c:pt>
                <c:pt idx="749">
                  <c:v>764.67878961306644</c:v>
                </c:pt>
                <c:pt idx="750">
                  <c:v>764.67878961306644</c:v>
                </c:pt>
                <c:pt idx="751">
                  <c:v>764.67878961306644</c:v>
                </c:pt>
                <c:pt idx="752">
                  <c:v>764.67878961306644</c:v>
                </c:pt>
                <c:pt idx="753">
                  <c:v>764.67878961306644</c:v>
                </c:pt>
                <c:pt idx="754">
                  <c:v>764.67878961306644</c:v>
                </c:pt>
                <c:pt idx="755">
                  <c:v>764.67878961306644</c:v>
                </c:pt>
                <c:pt idx="756">
                  <c:v>764.67878961306644</c:v>
                </c:pt>
                <c:pt idx="757">
                  <c:v>764.67878961306644</c:v>
                </c:pt>
                <c:pt idx="758">
                  <c:v>764.67878961306644</c:v>
                </c:pt>
                <c:pt idx="759">
                  <c:v>764.67878961306644</c:v>
                </c:pt>
                <c:pt idx="760">
                  <c:v>764.67878961306644</c:v>
                </c:pt>
                <c:pt idx="761">
                  <c:v>764.67878961306644</c:v>
                </c:pt>
                <c:pt idx="762">
                  <c:v>764.67878961306644</c:v>
                </c:pt>
                <c:pt idx="763">
                  <c:v>764.67878961306644</c:v>
                </c:pt>
                <c:pt idx="764">
                  <c:v>764.67878961306644</c:v>
                </c:pt>
                <c:pt idx="765">
                  <c:v>764.67878961306644</c:v>
                </c:pt>
                <c:pt idx="766">
                  <c:v>764.67878961306644</c:v>
                </c:pt>
                <c:pt idx="767">
                  <c:v>764.67878961306644</c:v>
                </c:pt>
                <c:pt idx="768">
                  <c:v>764.67878961306644</c:v>
                </c:pt>
                <c:pt idx="769">
                  <c:v>764.67878961306644</c:v>
                </c:pt>
                <c:pt idx="770">
                  <c:v>764.67878961306644</c:v>
                </c:pt>
                <c:pt idx="771">
                  <c:v>764.67878961306644</c:v>
                </c:pt>
                <c:pt idx="772">
                  <c:v>764.67878961306644</c:v>
                </c:pt>
                <c:pt idx="773">
                  <c:v>764.67878961306644</c:v>
                </c:pt>
                <c:pt idx="774">
                  <c:v>764.67878961306644</c:v>
                </c:pt>
                <c:pt idx="775">
                  <c:v>764.67878961306644</c:v>
                </c:pt>
                <c:pt idx="776">
                  <c:v>764.67878961306644</c:v>
                </c:pt>
                <c:pt idx="777">
                  <c:v>764.67878961306644</c:v>
                </c:pt>
                <c:pt idx="778">
                  <c:v>764.67878961306644</c:v>
                </c:pt>
                <c:pt idx="779">
                  <c:v>764.67878961306644</c:v>
                </c:pt>
                <c:pt idx="780">
                  <c:v>764.67878961306644</c:v>
                </c:pt>
                <c:pt idx="781">
                  <c:v>764.67878961306644</c:v>
                </c:pt>
                <c:pt idx="782">
                  <c:v>764.67878961306644</c:v>
                </c:pt>
                <c:pt idx="783">
                  <c:v>764.67878961306644</c:v>
                </c:pt>
                <c:pt idx="784">
                  <c:v>764.67878961306644</c:v>
                </c:pt>
                <c:pt idx="785">
                  <c:v>764.67878961306644</c:v>
                </c:pt>
                <c:pt idx="786">
                  <c:v>764.67878961306644</c:v>
                </c:pt>
                <c:pt idx="787">
                  <c:v>764.67878961306644</c:v>
                </c:pt>
                <c:pt idx="788">
                  <c:v>764.67878961306644</c:v>
                </c:pt>
                <c:pt idx="789">
                  <c:v>764.67878961306644</c:v>
                </c:pt>
                <c:pt idx="790">
                  <c:v>764.67878961306644</c:v>
                </c:pt>
                <c:pt idx="791">
                  <c:v>764.67878961306644</c:v>
                </c:pt>
                <c:pt idx="792">
                  <c:v>764.67878961306644</c:v>
                </c:pt>
                <c:pt idx="793">
                  <c:v>764.67878961306644</c:v>
                </c:pt>
                <c:pt idx="794">
                  <c:v>764.67878961306644</c:v>
                </c:pt>
                <c:pt idx="795">
                  <c:v>764.67878961306644</c:v>
                </c:pt>
                <c:pt idx="796">
                  <c:v>764.67878961306644</c:v>
                </c:pt>
                <c:pt idx="797">
                  <c:v>764.67878961306644</c:v>
                </c:pt>
                <c:pt idx="798">
                  <c:v>764.67878961306644</c:v>
                </c:pt>
                <c:pt idx="799">
                  <c:v>764.67878961306644</c:v>
                </c:pt>
                <c:pt idx="800">
                  <c:v>764.67878961306644</c:v>
                </c:pt>
                <c:pt idx="801">
                  <c:v>764.67878961306644</c:v>
                </c:pt>
                <c:pt idx="802">
                  <c:v>764.67878961306644</c:v>
                </c:pt>
                <c:pt idx="803">
                  <c:v>764.67878961306644</c:v>
                </c:pt>
                <c:pt idx="804">
                  <c:v>764.67878961306644</c:v>
                </c:pt>
                <c:pt idx="805">
                  <c:v>764.67878961306644</c:v>
                </c:pt>
                <c:pt idx="806">
                  <c:v>764.67878961306644</c:v>
                </c:pt>
                <c:pt idx="807">
                  <c:v>764.67878961306644</c:v>
                </c:pt>
                <c:pt idx="808">
                  <c:v>764.67878961306644</c:v>
                </c:pt>
                <c:pt idx="809">
                  <c:v>764.67878961306644</c:v>
                </c:pt>
                <c:pt idx="810">
                  <c:v>764.67878961306644</c:v>
                </c:pt>
                <c:pt idx="811">
                  <c:v>764.67878961306644</c:v>
                </c:pt>
                <c:pt idx="812">
                  <c:v>764.67878961306644</c:v>
                </c:pt>
                <c:pt idx="813">
                  <c:v>764.67878961306644</c:v>
                </c:pt>
                <c:pt idx="814">
                  <c:v>764.67878961306644</c:v>
                </c:pt>
                <c:pt idx="815">
                  <c:v>764.67878961306644</c:v>
                </c:pt>
                <c:pt idx="816">
                  <c:v>764.67878961306644</c:v>
                </c:pt>
                <c:pt idx="817">
                  <c:v>764.67878961306644</c:v>
                </c:pt>
                <c:pt idx="818">
                  <c:v>764.67878961306644</c:v>
                </c:pt>
                <c:pt idx="819">
                  <c:v>764.67878961306644</c:v>
                </c:pt>
                <c:pt idx="820">
                  <c:v>764.67878961306644</c:v>
                </c:pt>
                <c:pt idx="821">
                  <c:v>764.67878961306644</c:v>
                </c:pt>
                <c:pt idx="822">
                  <c:v>764.67878961306644</c:v>
                </c:pt>
                <c:pt idx="823">
                  <c:v>764.67878961306644</c:v>
                </c:pt>
                <c:pt idx="824">
                  <c:v>764.67878961306644</c:v>
                </c:pt>
                <c:pt idx="825">
                  <c:v>764.67878961306644</c:v>
                </c:pt>
                <c:pt idx="826">
                  <c:v>764.67878961306644</c:v>
                </c:pt>
                <c:pt idx="827">
                  <c:v>764.67878961306644</c:v>
                </c:pt>
                <c:pt idx="828">
                  <c:v>764.67878961306644</c:v>
                </c:pt>
                <c:pt idx="829">
                  <c:v>764.67878961306644</c:v>
                </c:pt>
                <c:pt idx="830">
                  <c:v>764.67878961306644</c:v>
                </c:pt>
                <c:pt idx="831">
                  <c:v>764.67878961306644</c:v>
                </c:pt>
                <c:pt idx="832">
                  <c:v>764.67878961306644</c:v>
                </c:pt>
                <c:pt idx="833">
                  <c:v>764.67878961306644</c:v>
                </c:pt>
                <c:pt idx="834">
                  <c:v>764.67878961306644</c:v>
                </c:pt>
                <c:pt idx="835">
                  <c:v>764.67878961306644</c:v>
                </c:pt>
                <c:pt idx="836">
                  <c:v>764.67878961306644</c:v>
                </c:pt>
                <c:pt idx="837">
                  <c:v>764.67878961306644</c:v>
                </c:pt>
                <c:pt idx="838">
                  <c:v>764.67878961306644</c:v>
                </c:pt>
                <c:pt idx="839">
                  <c:v>764.67878961306644</c:v>
                </c:pt>
                <c:pt idx="840">
                  <c:v>764.67878961306644</c:v>
                </c:pt>
                <c:pt idx="841">
                  <c:v>764.67878961306644</c:v>
                </c:pt>
                <c:pt idx="842">
                  <c:v>764.67878961306644</c:v>
                </c:pt>
                <c:pt idx="843">
                  <c:v>764.67878961306644</c:v>
                </c:pt>
                <c:pt idx="844">
                  <c:v>764.67878961306644</c:v>
                </c:pt>
                <c:pt idx="845">
                  <c:v>764.67878961306644</c:v>
                </c:pt>
                <c:pt idx="846">
                  <c:v>764.67878961306644</c:v>
                </c:pt>
                <c:pt idx="847">
                  <c:v>764.67878961306644</c:v>
                </c:pt>
                <c:pt idx="848">
                  <c:v>764.67878961306644</c:v>
                </c:pt>
                <c:pt idx="849">
                  <c:v>764.67878961306644</c:v>
                </c:pt>
                <c:pt idx="850">
                  <c:v>764.67878961306644</c:v>
                </c:pt>
                <c:pt idx="851">
                  <c:v>764.67878961306644</c:v>
                </c:pt>
                <c:pt idx="852">
                  <c:v>764.67878961306644</c:v>
                </c:pt>
                <c:pt idx="853">
                  <c:v>764.67878961306644</c:v>
                </c:pt>
                <c:pt idx="854">
                  <c:v>764.67878961306644</c:v>
                </c:pt>
                <c:pt idx="855">
                  <c:v>764.67878961306644</c:v>
                </c:pt>
                <c:pt idx="856">
                  <c:v>764.67878961306644</c:v>
                </c:pt>
                <c:pt idx="857">
                  <c:v>764.67878961306644</c:v>
                </c:pt>
                <c:pt idx="858">
                  <c:v>764.67878961306644</c:v>
                </c:pt>
                <c:pt idx="859">
                  <c:v>764.67878961306644</c:v>
                </c:pt>
                <c:pt idx="860">
                  <c:v>764.67878961306644</c:v>
                </c:pt>
                <c:pt idx="861">
                  <c:v>764.67878961306644</c:v>
                </c:pt>
                <c:pt idx="862">
                  <c:v>764.67878961306644</c:v>
                </c:pt>
                <c:pt idx="863">
                  <c:v>764.67878961306644</c:v>
                </c:pt>
                <c:pt idx="864">
                  <c:v>764.67878961306644</c:v>
                </c:pt>
                <c:pt idx="865">
                  <c:v>764.67878961306644</c:v>
                </c:pt>
                <c:pt idx="866">
                  <c:v>764.67878961306644</c:v>
                </c:pt>
                <c:pt idx="867">
                  <c:v>764.67878961306644</c:v>
                </c:pt>
                <c:pt idx="868">
                  <c:v>764.67878961306644</c:v>
                </c:pt>
                <c:pt idx="869">
                  <c:v>764.67878961306644</c:v>
                </c:pt>
                <c:pt idx="870">
                  <c:v>764.67878961306644</c:v>
                </c:pt>
                <c:pt idx="871">
                  <c:v>764.67878961306644</c:v>
                </c:pt>
                <c:pt idx="872">
                  <c:v>764.67878961306644</c:v>
                </c:pt>
                <c:pt idx="873">
                  <c:v>764.67878961306644</c:v>
                </c:pt>
                <c:pt idx="874">
                  <c:v>764.67878961306644</c:v>
                </c:pt>
                <c:pt idx="875">
                  <c:v>764.67878961306644</c:v>
                </c:pt>
                <c:pt idx="876">
                  <c:v>764.67878961306644</c:v>
                </c:pt>
                <c:pt idx="877">
                  <c:v>764.67878961306644</c:v>
                </c:pt>
                <c:pt idx="878">
                  <c:v>764.67878961306644</c:v>
                </c:pt>
                <c:pt idx="879">
                  <c:v>764.67878961306644</c:v>
                </c:pt>
                <c:pt idx="880">
                  <c:v>764.67878961306644</c:v>
                </c:pt>
                <c:pt idx="881">
                  <c:v>764.67878961306644</c:v>
                </c:pt>
                <c:pt idx="882">
                  <c:v>764.67878961306644</c:v>
                </c:pt>
                <c:pt idx="883">
                  <c:v>764.67878961306644</c:v>
                </c:pt>
                <c:pt idx="884">
                  <c:v>764.67878961306644</c:v>
                </c:pt>
                <c:pt idx="885">
                  <c:v>764.67878961306644</c:v>
                </c:pt>
                <c:pt idx="886">
                  <c:v>764.67878961306644</c:v>
                </c:pt>
                <c:pt idx="887">
                  <c:v>764.67878961306644</c:v>
                </c:pt>
                <c:pt idx="888">
                  <c:v>764.67878961306644</c:v>
                </c:pt>
                <c:pt idx="889">
                  <c:v>764.67878961306644</c:v>
                </c:pt>
                <c:pt idx="890">
                  <c:v>764.67878961306644</c:v>
                </c:pt>
                <c:pt idx="891">
                  <c:v>764.67878961306644</c:v>
                </c:pt>
                <c:pt idx="892">
                  <c:v>764.67878961306644</c:v>
                </c:pt>
                <c:pt idx="893">
                  <c:v>764.67878961306644</c:v>
                </c:pt>
                <c:pt idx="894">
                  <c:v>764.67878961306644</c:v>
                </c:pt>
                <c:pt idx="895">
                  <c:v>764.67878961306644</c:v>
                </c:pt>
                <c:pt idx="896">
                  <c:v>764.67878961306644</c:v>
                </c:pt>
                <c:pt idx="897">
                  <c:v>764.67878961306644</c:v>
                </c:pt>
                <c:pt idx="898">
                  <c:v>764.67878961306644</c:v>
                </c:pt>
                <c:pt idx="899">
                  <c:v>764.67878961306644</c:v>
                </c:pt>
                <c:pt idx="900">
                  <c:v>764.67878961306644</c:v>
                </c:pt>
                <c:pt idx="901">
                  <c:v>764.67878961306644</c:v>
                </c:pt>
                <c:pt idx="902">
                  <c:v>764.67878961306644</c:v>
                </c:pt>
                <c:pt idx="903">
                  <c:v>764.67878961306644</c:v>
                </c:pt>
                <c:pt idx="904">
                  <c:v>764.67878961306644</c:v>
                </c:pt>
                <c:pt idx="905">
                  <c:v>764.67878961306644</c:v>
                </c:pt>
                <c:pt idx="906">
                  <c:v>764.67878961306644</c:v>
                </c:pt>
                <c:pt idx="907">
                  <c:v>764.67878961306644</c:v>
                </c:pt>
                <c:pt idx="908">
                  <c:v>764.67878961306644</c:v>
                </c:pt>
                <c:pt idx="909">
                  <c:v>764.67878961306644</c:v>
                </c:pt>
                <c:pt idx="910">
                  <c:v>764.67878961306644</c:v>
                </c:pt>
                <c:pt idx="911">
                  <c:v>764.67878961306644</c:v>
                </c:pt>
                <c:pt idx="912">
                  <c:v>764.67878961306644</c:v>
                </c:pt>
                <c:pt idx="913">
                  <c:v>764.67878961306644</c:v>
                </c:pt>
                <c:pt idx="914">
                  <c:v>764.67878961306644</c:v>
                </c:pt>
                <c:pt idx="915">
                  <c:v>764.67878961306644</c:v>
                </c:pt>
                <c:pt idx="916">
                  <c:v>764.67878961306644</c:v>
                </c:pt>
                <c:pt idx="917">
                  <c:v>764.67878961306644</c:v>
                </c:pt>
                <c:pt idx="918">
                  <c:v>764.67878961306644</c:v>
                </c:pt>
                <c:pt idx="919">
                  <c:v>764.67878961306644</c:v>
                </c:pt>
                <c:pt idx="920">
                  <c:v>764.67878961306644</c:v>
                </c:pt>
                <c:pt idx="921">
                  <c:v>764.67878961306644</c:v>
                </c:pt>
                <c:pt idx="922">
                  <c:v>764.67878961306644</c:v>
                </c:pt>
                <c:pt idx="923">
                  <c:v>764.67878961306644</c:v>
                </c:pt>
                <c:pt idx="924">
                  <c:v>764.67878961306644</c:v>
                </c:pt>
                <c:pt idx="925">
                  <c:v>764.67878961306644</c:v>
                </c:pt>
                <c:pt idx="926">
                  <c:v>764.67878961306644</c:v>
                </c:pt>
                <c:pt idx="927">
                  <c:v>764.67878961306644</c:v>
                </c:pt>
                <c:pt idx="928">
                  <c:v>764.67878961306644</c:v>
                </c:pt>
                <c:pt idx="929">
                  <c:v>764.67878961306644</c:v>
                </c:pt>
                <c:pt idx="930">
                  <c:v>764.67878961306644</c:v>
                </c:pt>
                <c:pt idx="931">
                  <c:v>764.67878961306644</c:v>
                </c:pt>
                <c:pt idx="932">
                  <c:v>764.67878961306644</c:v>
                </c:pt>
                <c:pt idx="933">
                  <c:v>764.67878961306644</c:v>
                </c:pt>
                <c:pt idx="934">
                  <c:v>764.67878961306644</c:v>
                </c:pt>
                <c:pt idx="935">
                  <c:v>764.67878961306644</c:v>
                </c:pt>
                <c:pt idx="936">
                  <c:v>764.67878961306644</c:v>
                </c:pt>
                <c:pt idx="937">
                  <c:v>764.67878961306644</c:v>
                </c:pt>
                <c:pt idx="938">
                  <c:v>764.67878961306644</c:v>
                </c:pt>
                <c:pt idx="939">
                  <c:v>764.67878961306644</c:v>
                </c:pt>
                <c:pt idx="940">
                  <c:v>764.67878961306644</c:v>
                </c:pt>
                <c:pt idx="941">
                  <c:v>764.67878961306644</c:v>
                </c:pt>
                <c:pt idx="942">
                  <c:v>764.67878961306644</c:v>
                </c:pt>
                <c:pt idx="943">
                  <c:v>764.67878961306644</c:v>
                </c:pt>
                <c:pt idx="944">
                  <c:v>764.67878961306644</c:v>
                </c:pt>
                <c:pt idx="945">
                  <c:v>764.67878961306644</c:v>
                </c:pt>
                <c:pt idx="946">
                  <c:v>764.67878961306644</c:v>
                </c:pt>
                <c:pt idx="947">
                  <c:v>764.67878961306644</c:v>
                </c:pt>
                <c:pt idx="948">
                  <c:v>764.67878961306644</c:v>
                </c:pt>
                <c:pt idx="949">
                  <c:v>764.67878961306644</c:v>
                </c:pt>
                <c:pt idx="950">
                  <c:v>764.67878961306644</c:v>
                </c:pt>
                <c:pt idx="951">
                  <c:v>764.67878961306644</c:v>
                </c:pt>
                <c:pt idx="952">
                  <c:v>764.67878961306644</c:v>
                </c:pt>
                <c:pt idx="953">
                  <c:v>764.67878961306644</c:v>
                </c:pt>
                <c:pt idx="954">
                  <c:v>764.67878961306644</c:v>
                </c:pt>
                <c:pt idx="955">
                  <c:v>764.67878961306644</c:v>
                </c:pt>
                <c:pt idx="956">
                  <c:v>764.67878961306644</c:v>
                </c:pt>
                <c:pt idx="957">
                  <c:v>764.67878961306644</c:v>
                </c:pt>
                <c:pt idx="958">
                  <c:v>764.67878961306644</c:v>
                </c:pt>
                <c:pt idx="959">
                  <c:v>764.67878961306644</c:v>
                </c:pt>
                <c:pt idx="960">
                  <c:v>764.67878961306644</c:v>
                </c:pt>
                <c:pt idx="961">
                  <c:v>764.67878961306644</c:v>
                </c:pt>
                <c:pt idx="962">
                  <c:v>764.67878961306644</c:v>
                </c:pt>
                <c:pt idx="963">
                  <c:v>764.67878961306644</c:v>
                </c:pt>
                <c:pt idx="964">
                  <c:v>764.67878961306644</c:v>
                </c:pt>
                <c:pt idx="965">
                  <c:v>764.67878961306644</c:v>
                </c:pt>
                <c:pt idx="966">
                  <c:v>764.67878961306644</c:v>
                </c:pt>
                <c:pt idx="967">
                  <c:v>764.67878961306644</c:v>
                </c:pt>
                <c:pt idx="968">
                  <c:v>764.67878961306644</c:v>
                </c:pt>
                <c:pt idx="969">
                  <c:v>764.67878961306644</c:v>
                </c:pt>
                <c:pt idx="970">
                  <c:v>764.67878961306644</c:v>
                </c:pt>
                <c:pt idx="971">
                  <c:v>764.67878961306644</c:v>
                </c:pt>
                <c:pt idx="972">
                  <c:v>764.67878961306644</c:v>
                </c:pt>
                <c:pt idx="973">
                  <c:v>764.67878961306644</c:v>
                </c:pt>
                <c:pt idx="974">
                  <c:v>764.67878961306644</c:v>
                </c:pt>
                <c:pt idx="975">
                  <c:v>764.67878961306644</c:v>
                </c:pt>
                <c:pt idx="976">
                  <c:v>764.67878961306644</c:v>
                </c:pt>
                <c:pt idx="977">
                  <c:v>764.67878961306644</c:v>
                </c:pt>
                <c:pt idx="978">
                  <c:v>764.67878961306644</c:v>
                </c:pt>
                <c:pt idx="979">
                  <c:v>764.67878961306644</c:v>
                </c:pt>
                <c:pt idx="980">
                  <c:v>764.67878961306644</c:v>
                </c:pt>
                <c:pt idx="981">
                  <c:v>764.67878961306644</c:v>
                </c:pt>
                <c:pt idx="982">
                  <c:v>764.67878961306644</c:v>
                </c:pt>
                <c:pt idx="983">
                  <c:v>764.67878961306644</c:v>
                </c:pt>
                <c:pt idx="984">
                  <c:v>764.67878961306644</c:v>
                </c:pt>
                <c:pt idx="985">
                  <c:v>764.67878961306644</c:v>
                </c:pt>
                <c:pt idx="986">
                  <c:v>764.67878961306644</c:v>
                </c:pt>
                <c:pt idx="987">
                  <c:v>764.67878961306644</c:v>
                </c:pt>
                <c:pt idx="988">
                  <c:v>764.67878961306644</c:v>
                </c:pt>
                <c:pt idx="989">
                  <c:v>764.67878961306644</c:v>
                </c:pt>
                <c:pt idx="990">
                  <c:v>764.67878961306644</c:v>
                </c:pt>
                <c:pt idx="991">
                  <c:v>764.67878961306644</c:v>
                </c:pt>
                <c:pt idx="992">
                  <c:v>764.67878961306644</c:v>
                </c:pt>
                <c:pt idx="993">
                  <c:v>764.67878961306644</c:v>
                </c:pt>
                <c:pt idx="994">
                  <c:v>764.67878961306644</c:v>
                </c:pt>
                <c:pt idx="995">
                  <c:v>764.67878961306644</c:v>
                </c:pt>
                <c:pt idx="996">
                  <c:v>764.67878961306644</c:v>
                </c:pt>
                <c:pt idx="997">
                  <c:v>764.67878961306644</c:v>
                </c:pt>
                <c:pt idx="998">
                  <c:v>764.67878961306644</c:v>
                </c:pt>
                <c:pt idx="999">
                  <c:v>764.67878961306644</c:v>
                </c:pt>
                <c:pt idx="1000">
                  <c:v>764.67878961306644</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2.1000000000000014</c:v>
                </c:pt>
                <c:pt idx="202">
                  <c:v>2.2000000000000015</c:v>
                </c:pt>
                <c:pt idx="203">
                  <c:v>2.3000000000000016</c:v>
                </c:pt>
                <c:pt idx="204">
                  <c:v>2.4000000000000017</c:v>
                </c:pt>
                <c:pt idx="205">
                  <c:v>2.5000000000000018</c:v>
                </c:pt>
                <c:pt idx="206">
                  <c:v>2.6000000000000019</c:v>
                </c:pt>
                <c:pt idx="207">
                  <c:v>2.700000000000002</c:v>
                </c:pt>
                <c:pt idx="208">
                  <c:v>2.800000000000002</c:v>
                </c:pt>
                <c:pt idx="209">
                  <c:v>2.9000000000000021</c:v>
                </c:pt>
                <c:pt idx="210">
                  <c:v>3.0000000000000022</c:v>
                </c:pt>
                <c:pt idx="211">
                  <c:v>3.1000000000000023</c:v>
                </c:pt>
                <c:pt idx="212">
                  <c:v>3.2000000000000024</c:v>
                </c:pt>
                <c:pt idx="213">
                  <c:v>3.3000000000000025</c:v>
                </c:pt>
                <c:pt idx="214">
                  <c:v>3.4000000000000026</c:v>
                </c:pt>
                <c:pt idx="215">
                  <c:v>3.5000000000000027</c:v>
                </c:pt>
                <c:pt idx="216">
                  <c:v>3.6000000000000028</c:v>
                </c:pt>
                <c:pt idx="217">
                  <c:v>3.7000000000000028</c:v>
                </c:pt>
                <c:pt idx="218">
                  <c:v>3.8000000000000029</c:v>
                </c:pt>
                <c:pt idx="219">
                  <c:v>3.900000000000003</c:v>
                </c:pt>
                <c:pt idx="220">
                  <c:v>4.0000000000000027</c:v>
                </c:pt>
                <c:pt idx="221">
                  <c:v>4.1000000000000023</c:v>
                </c:pt>
                <c:pt idx="222">
                  <c:v>4.200000000000002</c:v>
                </c:pt>
                <c:pt idx="223">
                  <c:v>4.3000000000000016</c:v>
                </c:pt>
                <c:pt idx="224">
                  <c:v>4.4000000000000012</c:v>
                </c:pt>
                <c:pt idx="225">
                  <c:v>4.5000000000000009</c:v>
                </c:pt>
                <c:pt idx="226">
                  <c:v>4.6000000000000005</c:v>
                </c:pt>
                <c:pt idx="227">
                  <c:v>4.7</c:v>
                </c:pt>
                <c:pt idx="228">
                  <c:v>4.8</c:v>
                </c:pt>
                <c:pt idx="229">
                  <c:v>4.8999999999999995</c:v>
                </c:pt>
                <c:pt idx="230">
                  <c:v>4.9999999999999991</c:v>
                </c:pt>
                <c:pt idx="231">
                  <c:v>5.0999999999999988</c:v>
                </c:pt>
                <c:pt idx="232">
                  <c:v>5.1999999999999984</c:v>
                </c:pt>
                <c:pt idx="233">
                  <c:v>5.299999999999998</c:v>
                </c:pt>
                <c:pt idx="234">
                  <c:v>5.3999999999999977</c:v>
                </c:pt>
                <c:pt idx="235">
                  <c:v>5.4999999999999973</c:v>
                </c:pt>
                <c:pt idx="236">
                  <c:v>5.599999999999997</c:v>
                </c:pt>
                <c:pt idx="237">
                  <c:v>5.6999999999999966</c:v>
                </c:pt>
                <c:pt idx="238">
                  <c:v>5.7999999999999963</c:v>
                </c:pt>
                <c:pt idx="239">
                  <c:v>5.8999999999999959</c:v>
                </c:pt>
                <c:pt idx="240">
                  <c:v>5.9999999999999956</c:v>
                </c:pt>
                <c:pt idx="241">
                  <c:v>6.0999999999999952</c:v>
                </c:pt>
                <c:pt idx="242">
                  <c:v>6.1999999999999948</c:v>
                </c:pt>
                <c:pt idx="243">
                  <c:v>6.2999999999999945</c:v>
                </c:pt>
                <c:pt idx="244">
                  <c:v>6.3999999999999941</c:v>
                </c:pt>
                <c:pt idx="245">
                  <c:v>6.4999999999999938</c:v>
                </c:pt>
                <c:pt idx="246">
                  <c:v>6.5999999999999934</c:v>
                </c:pt>
                <c:pt idx="247">
                  <c:v>6.6999999999999931</c:v>
                </c:pt>
                <c:pt idx="248">
                  <c:v>6.7999999999999927</c:v>
                </c:pt>
                <c:pt idx="249">
                  <c:v>6.8999999999999924</c:v>
                </c:pt>
                <c:pt idx="250">
                  <c:v>6.999999999999992</c:v>
                </c:pt>
                <c:pt idx="251">
                  <c:v>7.0999999999999917</c:v>
                </c:pt>
                <c:pt idx="252">
                  <c:v>7.1999999999999913</c:v>
                </c:pt>
                <c:pt idx="253">
                  <c:v>7.2999999999999909</c:v>
                </c:pt>
                <c:pt idx="254">
                  <c:v>7.3999999999999906</c:v>
                </c:pt>
                <c:pt idx="255">
                  <c:v>7.4999999999999902</c:v>
                </c:pt>
                <c:pt idx="256">
                  <c:v>7.5999999999999899</c:v>
                </c:pt>
                <c:pt idx="257">
                  <c:v>7.6999999999999895</c:v>
                </c:pt>
                <c:pt idx="258">
                  <c:v>7.7999999999999892</c:v>
                </c:pt>
                <c:pt idx="259">
                  <c:v>7.8999999999999888</c:v>
                </c:pt>
                <c:pt idx="260">
                  <c:v>7.9999999999999885</c:v>
                </c:pt>
                <c:pt idx="261">
                  <c:v>8.099999999999989</c:v>
                </c:pt>
                <c:pt idx="262">
                  <c:v>8.1999999999999886</c:v>
                </c:pt>
                <c:pt idx="263">
                  <c:v>8.2999999999999883</c:v>
                </c:pt>
                <c:pt idx="264">
                  <c:v>8.3999999999999879</c:v>
                </c:pt>
                <c:pt idx="265">
                  <c:v>8.4999999999999876</c:v>
                </c:pt>
                <c:pt idx="266">
                  <c:v>8.5999999999999872</c:v>
                </c:pt>
                <c:pt idx="267">
                  <c:v>8.6999999999999869</c:v>
                </c:pt>
                <c:pt idx="268">
                  <c:v>8.7999999999999865</c:v>
                </c:pt>
                <c:pt idx="269">
                  <c:v>8.8999999999999861</c:v>
                </c:pt>
                <c:pt idx="270">
                  <c:v>8.9999999999999858</c:v>
                </c:pt>
                <c:pt idx="271">
                  <c:v>9.0999999999999854</c:v>
                </c:pt>
                <c:pt idx="272">
                  <c:v>9.1999999999999851</c:v>
                </c:pt>
                <c:pt idx="273">
                  <c:v>9.2999999999999847</c:v>
                </c:pt>
                <c:pt idx="274">
                  <c:v>9.3999999999999844</c:v>
                </c:pt>
                <c:pt idx="275">
                  <c:v>9.499999999999984</c:v>
                </c:pt>
                <c:pt idx="276">
                  <c:v>9.5999999999999837</c:v>
                </c:pt>
                <c:pt idx="277">
                  <c:v>9.6999999999999833</c:v>
                </c:pt>
                <c:pt idx="278">
                  <c:v>9.7999999999999829</c:v>
                </c:pt>
                <c:pt idx="279">
                  <c:v>9.8999999999999826</c:v>
                </c:pt>
                <c:pt idx="280">
                  <c:v>9.9999999999999822</c:v>
                </c:pt>
                <c:pt idx="281">
                  <c:v>10.099999999999982</c:v>
                </c:pt>
                <c:pt idx="282">
                  <c:v>10.199999999999982</c:v>
                </c:pt>
                <c:pt idx="283">
                  <c:v>10.299999999999981</c:v>
                </c:pt>
                <c:pt idx="284">
                  <c:v>10.399999999999981</c:v>
                </c:pt>
                <c:pt idx="285">
                  <c:v>10.49999999999998</c:v>
                </c:pt>
                <c:pt idx="286">
                  <c:v>10.59999999999998</c:v>
                </c:pt>
                <c:pt idx="287">
                  <c:v>10.69999999999998</c:v>
                </c:pt>
                <c:pt idx="288">
                  <c:v>10.799999999999979</c:v>
                </c:pt>
                <c:pt idx="289">
                  <c:v>10.899999999999979</c:v>
                </c:pt>
                <c:pt idx="290">
                  <c:v>10.999999999999979</c:v>
                </c:pt>
                <c:pt idx="291">
                  <c:v>11.099999999999978</c:v>
                </c:pt>
                <c:pt idx="292">
                  <c:v>11.199999999999978</c:v>
                </c:pt>
                <c:pt idx="293">
                  <c:v>11.299999999999978</c:v>
                </c:pt>
                <c:pt idx="294">
                  <c:v>11.399999999999977</c:v>
                </c:pt>
                <c:pt idx="295">
                  <c:v>11.499999999999977</c:v>
                </c:pt>
                <c:pt idx="296">
                  <c:v>11.599999999999977</c:v>
                </c:pt>
                <c:pt idx="297">
                  <c:v>11.699999999999976</c:v>
                </c:pt>
                <c:pt idx="298">
                  <c:v>11.799999999999976</c:v>
                </c:pt>
                <c:pt idx="299">
                  <c:v>11.899999999999975</c:v>
                </c:pt>
                <c:pt idx="300">
                  <c:v>11.999999999999975</c:v>
                </c:pt>
                <c:pt idx="301">
                  <c:v>12.099999999999975</c:v>
                </c:pt>
                <c:pt idx="302">
                  <c:v>12.199999999999974</c:v>
                </c:pt>
                <c:pt idx="303">
                  <c:v>12.299999999999974</c:v>
                </c:pt>
                <c:pt idx="304">
                  <c:v>12.399999999999974</c:v>
                </c:pt>
                <c:pt idx="305">
                  <c:v>12.499999999999973</c:v>
                </c:pt>
                <c:pt idx="306">
                  <c:v>12.599999999999973</c:v>
                </c:pt>
                <c:pt idx="307">
                  <c:v>12.699999999999973</c:v>
                </c:pt>
                <c:pt idx="308">
                  <c:v>12.799999999999972</c:v>
                </c:pt>
                <c:pt idx="309">
                  <c:v>12.899999999999972</c:v>
                </c:pt>
                <c:pt idx="310">
                  <c:v>12.999999999999972</c:v>
                </c:pt>
                <c:pt idx="311">
                  <c:v>13.099999999999971</c:v>
                </c:pt>
                <c:pt idx="312">
                  <c:v>13.199999999999971</c:v>
                </c:pt>
                <c:pt idx="313">
                  <c:v>13.299999999999971</c:v>
                </c:pt>
                <c:pt idx="314">
                  <c:v>13.39999999999997</c:v>
                </c:pt>
                <c:pt idx="315">
                  <c:v>13.49999999999997</c:v>
                </c:pt>
                <c:pt idx="316">
                  <c:v>13.599999999999969</c:v>
                </c:pt>
                <c:pt idx="317">
                  <c:v>13.699999999999969</c:v>
                </c:pt>
                <c:pt idx="318">
                  <c:v>13.799999999999969</c:v>
                </c:pt>
                <c:pt idx="319">
                  <c:v>13.899999999999968</c:v>
                </c:pt>
                <c:pt idx="320">
                  <c:v>13.999999999999968</c:v>
                </c:pt>
                <c:pt idx="321">
                  <c:v>14.099999999999968</c:v>
                </c:pt>
                <c:pt idx="322">
                  <c:v>14.199999999999967</c:v>
                </c:pt>
                <c:pt idx="323">
                  <c:v>14.299999999999967</c:v>
                </c:pt>
                <c:pt idx="324">
                  <c:v>14.399999999999967</c:v>
                </c:pt>
                <c:pt idx="325">
                  <c:v>14.499999999999966</c:v>
                </c:pt>
                <c:pt idx="326">
                  <c:v>14.599999999999966</c:v>
                </c:pt>
                <c:pt idx="327">
                  <c:v>14.699999999999966</c:v>
                </c:pt>
                <c:pt idx="328">
                  <c:v>14.799999999999965</c:v>
                </c:pt>
                <c:pt idx="329">
                  <c:v>14.899999999999965</c:v>
                </c:pt>
                <c:pt idx="330">
                  <c:v>14.999999999999964</c:v>
                </c:pt>
                <c:pt idx="331">
                  <c:v>15.099999999999964</c:v>
                </c:pt>
                <c:pt idx="332">
                  <c:v>15.199999999999964</c:v>
                </c:pt>
                <c:pt idx="333">
                  <c:v>15.299999999999963</c:v>
                </c:pt>
                <c:pt idx="334">
                  <c:v>15.399999999999963</c:v>
                </c:pt>
                <c:pt idx="335">
                  <c:v>15.499999999999963</c:v>
                </c:pt>
                <c:pt idx="336">
                  <c:v>15.599999999999962</c:v>
                </c:pt>
                <c:pt idx="337">
                  <c:v>15.699999999999962</c:v>
                </c:pt>
                <c:pt idx="338">
                  <c:v>15.799999999999962</c:v>
                </c:pt>
                <c:pt idx="339">
                  <c:v>15.899999999999961</c:v>
                </c:pt>
                <c:pt idx="340">
                  <c:v>15.999999999999961</c:v>
                </c:pt>
                <c:pt idx="341">
                  <c:v>16.099999999999962</c:v>
                </c:pt>
                <c:pt idx="342">
                  <c:v>16.199999999999964</c:v>
                </c:pt>
                <c:pt idx="343">
                  <c:v>16.299999999999965</c:v>
                </c:pt>
                <c:pt idx="344">
                  <c:v>16.399999999999967</c:v>
                </c:pt>
                <c:pt idx="345">
                  <c:v>16.499999999999968</c:v>
                </c:pt>
                <c:pt idx="346">
                  <c:v>16.599999999999969</c:v>
                </c:pt>
                <c:pt idx="347">
                  <c:v>16.699999999999971</c:v>
                </c:pt>
                <c:pt idx="348">
                  <c:v>16.799999999999972</c:v>
                </c:pt>
                <c:pt idx="349">
                  <c:v>16.899999999999974</c:v>
                </c:pt>
                <c:pt idx="350">
                  <c:v>16.999999999999975</c:v>
                </c:pt>
                <c:pt idx="351">
                  <c:v>17.099999999999977</c:v>
                </c:pt>
                <c:pt idx="352">
                  <c:v>17.199999999999978</c:v>
                </c:pt>
                <c:pt idx="353">
                  <c:v>17.299999999999979</c:v>
                </c:pt>
                <c:pt idx="354">
                  <c:v>17.399999999999981</c:v>
                </c:pt>
                <c:pt idx="355">
                  <c:v>17.499999999999982</c:v>
                </c:pt>
                <c:pt idx="356">
                  <c:v>17.599999999999984</c:v>
                </c:pt>
                <c:pt idx="357">
                  <c:v>17.699999999999985</c:v>
                </c:pt>
                <c:pt idx="358">
                  <c:v>17.799999999999986</c:v>
                </c:pt>
                <c:pt idx="359">
                  <c:v>17.899999999999988</c:v>
                </c:pt>
                <c:pt idx="360">
                  <c:v>17.999999999999989</c:v>
                </c:pt>
                <c:pt idx="361">
                  <c:v>18.099999999999991</c:v>
                </c:pt>
                <c:pt idx="362">
                  <c:v>18.199999999999992</c:v>
                </c:pt>
                <c:pt idx="363">
                  <c:v>18.299999999999994</c:v>
                </c:pt>
                <c:pt idx="364">
                  <c:v>18.399999999999995</c:v>
                </c:pt>
                <c:pt idx="365">
                  <c:v>18.499999999999996</c:v>
                </c:pt>
                <c:pt idx="366">
                  <c:v>18.599999999999998</c:v>
                </c:pt>
                <c:pt idx="367">
                  <c:v>18.7</c:v>
                </c:pt>
                <c:pt idx="368">
                  <c:v>18.8</c:v>
                </c:pt>
                <c:pt idx="369">
                  <c:v>18.900000000000002</c:v>
                </c:pt>
                <c:pt idx="370">
                  <c:v>19.000000000000004</c:v>
                </c:pt>
                <c:pt idx="371">
                  <c:v>19.100000000000005</c:v>
                </c:pt>
                <c:pt idx="372">
                  <c:v>19.200000000000006</c:v>
                </c:pt>
                <c:pt idx="373">
                  <c:v>19.300000000000008</c:v>
                </c:pt>
                <c:pt idx="374">
                  <c:v>19.400000000000009</c:v>
                </c:pt>
                <c:pt idx="375">
                  <c:v>19.500000000000011</c:v>
                </c:pt>
                <c:pt idx="376">
                  <c:v>19.600000000000012</c:v>
                </c:pt>
                <c:pt idx="377">
                  <c:v>19.700000000000014</c:v>
                </c:pt>
                <c:pt idx="378">
                  <c:v>19.800000000000015</c:v>
                </c:pt>
                <c:pt idx="379">
                  <c:v>19.900000000000016</c:v>
                </c:pt>
                <c:pt idx="380">
                  <c:v>20.000000000000018</c:v>
                </c:pt>
                <c:pt idx="381">
                  <c:v>20.100000000000019</c:v>
                </c:pt>
                <c:pt idx="382">
                  <c:v>20.200000000000021</c:v>
                </c:pt>
                <c:pt idx="383">
                  <c:v>20.300000000000022</c:v>
                </c:pt>
                <c:pt idx="384">
                  <c:v>20.400000000000023</c:v>
                </c:pt>
                <c:pt idx="385">
                  <c:v>20.500000000000025</c:v>
                </c:pt>
                <c:pt idx="386">
                  <c:v>20.600000000000026</c:v>
                </c:pt>
                <c:pt idx="387">
                  <c:v>20.700000000000028</c:v>
                </c:pt>
                <c:pt idx="388">
                  <c:v>20.800000000000029</c:v>
                </c:pt>
                <c:pt idx="389">
                  <c:v>20.900000000000031</c:v>
                </c:pt>
                <c:pt idx="390">
                  <c:v>21.000000000000032</c:v>
                </c:pt>
                <c:pt idx="391">
                  <c:v>21.100000000000033</c:v>
                </c:pt>
                <c:pt idx="392">
                  <c:v>21.200000000000035</c:v>
                </c:pt>
                <c:pt idx="393">
                  <c:v>21.300000000000036</c:v>
                </c:pt>
                <c:pt idx="394">
                  <c:v>21.400000000000038</c:v>
                </c:pt>
                <c:pt idx="395">
                  <c:v>21.500000000000039</c:v>
                </c:pt>
                <c:pt idx="396">
                  <c:v>21.600000000000041</c:v>
                </c:pt>
                <c:pt idx="397">
                  <c:v>21.700000000000042</c:v>
                </c:pt>
                <c:pt idx="398">
                  <c:v>21.800000000000043</c:v>
                </c:pt>
                <c:pt idx="399">
                  <c:v>21.900000000000045</c:v>
                </c:pt>
                <c:pt idx="400">
                  <c:v>22.000000000000046</c:v>
                </c:pt>
                <c:pt idx="401">
                  <c:v>22.100000000000048</c:v>
                </c:pt>
                <c:pt idx="402">
                  <c:v>22.200000000000049</c:v>
                </c:pt>
                <c:pt idx="403">
                  <c:v>22.30000000000005</c:v>
                </c:pt>
                <c:pt idx="404">
                  <c:v>22.400000000000052</c:v>
                </c:pt>
                <c:pt idx="405">
                  <c:v>22.500000000000053</c:v>
                </c:pt>
                <c:pt idx="406">
                  <c:v>22.600000000000055</c:v>
                </c:pt>
                <c:pt idx="407">
                  <c:v>22.700000000000056</c:v>
                </c:pt>
                <c:pt idx="408">
                  <c:v>22.800000000000058</c:v>
                </c:pt>
                <c:pt idx="409">
                  <c:v>22.900000000000059</c:v>
                </c:pt>
                <c:pt idx="410">
                  <c:v>23.00000000000006</c:v>
                </c:pt>
                <c:pt idx="411">
                  <c:v>23.100000000000062</c:v>
                </c:pt>
                <c:pt idx="412">
                  <c:v>23.200000000000063</c:v>
                </c:pt>
                <c:pt idx="413">
                  <c:v>23.300000000000065</c:v>
                </c:pt>
                <c:pt idx="414">
                  <c:v>23.400000000000066</c:v>
                </c:pt>
                <c:pt idx="415">
                  <c:v>23.500000000000068</c:v>
                </c:pt>
                <c:pt idx="416">
                  <c:v>23.600000000000069</c:v>
                </c:pt>
                <c:pt idx="417">
                  <c:v>23.70000000000007</c:v>
                </c:pt>
                <c:pt idx="418">
                  <c:v>23.800000000000072</c:v>
                </c:pt>
                <c:pt idx="419">
                  <c:v>23.900000000000073</c:v>
                </c:pt>
                <c:pt idx="420">
                  <c:v>24.000000000000075</c:v>
                </c:pt>
                <c:pt idx="421">
                  <c:v>24.100000000000076</c:v>
                </c:pt>
                <c:pt idx="422">
                  <c:v>24.200000000000077</c:v>
                </c:pt>
                <c:pt idx="423">
                  <c:v>24.300000000000079</c:v>
                </c:pt>
                <c:pt idx="424">
                  <c:v>24.40000000000008</c:v>
                </c:pt>
                <c:pt idx="425">
                  <c:v>24.500000000000082</c:v>
                </c:pt>
                <c:pt idx="426">
                  <c:v>24.600000000000083</c:v>
                </c:pt>
                <c:pt idx="427">
                  <c:v>24.700000000000085</c:v>
                </c:pt>
                <c:pt idx="428">
                  <c:v>24.800000000000086</c:v>
                </c:pt>
                <c:pt idx="429">
                  <c:v>24.900000000000087</c:v>
                </c:pt>
                <c:pt idx="430">
                  <c:v>25.000000000000089</c:v>
                </c:pt>
                <c:pt idx="431">
                  <c:v>25.10000000000009</c:v>
                </c:pt>
                <c:pt idx="432">
                  <c:v>25.200000000000092</c:v>
                </c:pt>
                <c:pt idx="433">
                  <c:v>25.300000000000093</c:v>
                </c:pt>
                <c:pt idx="434">
                  <c:v>25.400000000000095</c:v>
                </c:pt>
                <c:pt idx="435">
                  <c:v>25.500000000000096</c:v>
                </c:pt>
                <c:pt idx="436">
                  <c:v>25.600000000000097</c:v>
                </c:pt>
                <c:pt idx="437">
                  <c:v>25.700000000000099</c:v>
                </c:pt>
                <c:pt idx="438">
                  <c:v>25.8000000000001</c:v>
                </c:pt>
                <c:pt idx="439">
                  <c:v>25.900000000000102</c:v>
                </c:pt>
                <c:pt idx="440">
                  <c:v>26.000000000000103</c:v>
                </c:pt>
                <c:pt idx="441">
                  <c:v>26.100000000000104</c:v>
                </c:pt>
                <c:pt idx="442">
                  <c:v>26.200000000000106</c:v>
                </c:pt>
                <c:pt idx="443">
                  <c:v>26.300000000000107</c:v>
                </c:pt>
                <c:pt idx="444">
                  <c:v>26.400000000000109</c:v>
                </c:pt>
                <c:pt idx="445">
                  <c:v>26.50000000000011</c:v>
                </c:pt>
                <c:pt idx="446">
                  <c:v>26.600000000000112</c:v>
                </c:pt>
                <c:pt idx="447">
                  <c:v>26.700000000000113</c:v>
                </c:pt>
                <c:pt idx="448">
                  <c:v>26.800000000000114</c:v>
                </c:pt>
                <c:pt idx="449">
                  <c:v>26.900000000000116</c:v>
                </c:pt>
                <c:pt idx="450">
                  <c:v>27.000000000000117</c:v>
                </c:pt>
                <c:pt idx="451">
                  <c:v>27.100000000000119</c:v>
                </c:pt>
                <c:pt idx="452">
                  <c:v>27.20000000000012</c:v>
                </c:pt>
                <c:pt idx="453">
                  <c:v>27.300000000000122</c:v>
                </c:pt>
                <c:pt idx="454">
                  <c:v>27.400000000000123</c:v>
                </c:pt>
                <c:pt idx="455">
                  <c:v>27.500000000000124</c:v>
                </c:pt>
                <c:pt idx="456">
                  <c:v>27.600000000000126</c:v>
                </c:pt>
                <c:pt idx="457">
                  <c:v>27.700000000000127</c:v>
                </c:pt>
                <c:pt idx="458">
                  <c:v>27.800000000000129</c:v>
                </c:pt>
                <c:pt idx="459">
                  <c:v>27.90000000000013</c:v>
                </c:pt>
                <c:pt idx="460">
                  <c:v>28.000000000000131</c:v>
                </c:pt>
                <c:pt idx="461">
                  <c:v>28.100000000000133</c:v>
                </c:pt>
                <c:pt idx="462">
                  <c:v>28.200000000000134</c:v>
                </c:pt>
                <c:pt idx="463">
                  <c:v>28.300000000000136</c:v>
                </c:pt>
                <c:pt idx="464">
                  <c:v>28.400000000000137</c:v>
                </c:pt>
                <c:pt idx="465">
                  <c:v>28.500000000000139</c:v>
                </c:pt>
                <c:pt idx="466">
                  <c:v>28.60000000000014</c:v>
                </c:pt>
                <c:pt idx="467">
                  <c:v>28.700000000000141</c:v>
                </c:pt>
                <c:pt idx="468">
                  <c:v>28.800000000000143</c:v>
                </c:pt>
                <c:pt idx="469">
                  <c:v>28.900000000000144</c:v>
                </c:pt>
                <c:pt idx="470">
                  <c:v>29.000000000000146</c:v>
                </c:pt>
                <c:pt idx="471">
                  <c:v>29.100000000000147</c:v>
                </c:pt>
                <c:pt idx="472">
                  <c:v>29.200000000000149</c:v>
                </c:pt>
                <c:pt idx="473">
                  <c:v>29.30000000000015</c:v>
                </c:pt>
                <c:pt idx="474">
                  <c:v>29.400000000000151</c:v>
                </c:pt>
                <c:pt idx="475">
                  <c:v>29.500000000000153</c:v>
                </c:pt>
                <c:pt idx="476">
                  <c:v>29.600000000000154</c:v>
                </c:pt>
                <c:pt idx="477">
                  <c:v>29.700000000000156</c:v>
                </c:pt>
                <c:pt idx="478">
                  <c:v>29.800000000000157</c:v>
                </c:pt>
                <c:pt idx="479">
                  <c:v>29.900000000000158</c:v>
                </c:pt>
                <c:pt idx="480">
                  <c:v>30.00000000000016</c:v>
                </c:pt>
                <c:pt idx="481">
                  <c:v>30.100000000000161</c:v>
                </c:pt>
                <c:pt idx="482">
                  <c:v>30.200000000000163</c:v>
                </c:pt>
                <c:pt idx="483">
                  <c:v>30.300000000000164</c:v>
                </c:pt>
                <c:pt idx="484">
                  <c:v>30.400000000000166</c:v>
                </c:pt>
                <c:pt idx="485">
                  <c:v>30.500000000000167</c:v>
                </c:pt>
                <c:pt idx="486">
                  <c:v>30.600000000000168</c:v>
                </c:pt>
                <c:pt idx="487">
                  <c:v>30.70000000000017</c:v>
                </c:pt>
                <c:pt idx="488">
                  <c:v>30.800000000000171</c:v>
                </c:pt>
                <c:pt idx="489">
                  <c:v>30.900000000000173</c:v>
                </c:pt>
                <c:pt idx="490">
                  <c:v>31.000000000000174</c:v>
                </c:pt>
                <c:pt idx="491">
                  <c:v>31.100000000000176</c:v>
                </c:pt>
                <c:pt idx="492">
                  <c:v>31.200000000000177</c:v>
                </c:pt>
                <c:pt idx="493">
                  <c:v>31.300000000000178</c:v>
                </c:pt>
                <c:pt idx="494">
                  <c:v>31.40000000000018</c:v>
                </c:pt>
                <c:pt idx="495">
                  <c:v>31.500000000000181</c:v>
                </c:pt>
                <c:pt idx="496">
                  <c:v>31.600000000000183</c:v>
                </c:pt>
                <c:pt idx="497">
                  <c:v>31.700000000000184</c:v>
                </c:pt>
                <c:pt idx="498">
                  <c:v>31.800000000000185</c:v>
                </c:pt>
                <c:pt idx="499">
                  <c:v>31.900000000000187</c:v>
                </c:pt>
                <c:pt idx="500">
                  <c:v>32.000000000000185</c:v>
                </c:pt>
                <c:pt idx="501">
                  <c:v>32.100000000000186</c:v>
                </c:pt>
                <c:pt idx="502">
                  <c:v>32.200000000000188</c:v>
                </c:pt>
                <c:pt idx="503">
                  <c:v>32.300000000000189</c:v>
                </c:pt>
                <c:pt idx="504">
                  <c:v>32.40000000000019</c:v>
                </c:pt>
                <c:pt idx="505">
                  <c:v>32.500000000000192</c:v>
                </c:pt>
                <c:pt idx="506">
                  <c:v>32.600000000000193</c:v>
                </c:pt>
                <c:pt idx="507">
                  <c:v>32.700000000000195</c:v>
                </c:pt>
                <c:pt idx="508">
                  <c:v>32.800000000000196</c:v>
                </c:pt>
                <c:pt idx="509">
                  <c:v>32.900000000000198</c:v>
                </c:pt>
                <c:pt idx="510">
                  <c:v>33.000000000000199</c:v>
                </c:pt>
                <c:pt idx="511">
                  <c:v>33.1000000000002</c:v>
                </c:pt>
                <c:pt idx="512">
                  <c:v>33.100100000000204</c:v>
                </c:pt>
                <c:pt idx="513">
                  <c:v>33.100200000000207</c:v>
                </c:pt>
                <c:pt idx="514">
                  <c:v>33.10030000000021</c:v>
                </c:pt>
                <c:pt idx="515">
                  <c:v>33.100400000000214</c:v>
                </c:pt>
                <c:pt idx="516">
                  <c:v>33.100500000000217</c:v>
                </c:pt>
                <c:pt idx="517">
                  <c:v>33.10060000000022</c:v>
                </c:pt>
                <c:pt idx="518">
                  <c:v>33.100700000000224</c:v>
                </c:pt>
                <c:pt idx="519">
                  <c:v>33.100800000000227</c:v>
                </c:pt>
                <c:pt idx="520">
                  <c:v>33.10090000000023</c:v>
                </c:pt>
                <c:pt idx="521">
                  <c:v>33.101000000000234</c:v>
                </c:pt>
                <c:pt idx="522">
                  <c:v>33.101100000000237</c:v>
                </c:pt>
                <c:pt idx="523">
                  <c:v>33.10120000000024</c:v>
                </c:pt>
                <c:pt idx="524">
                  <c:v>33.101300000000244</c:v>
                </c:pt>
                <c:pt idx="525">
                  <c:v>33.101400000000247</c:v>
                </c:pt>
                <c:pt idx="526">
                  <c:v>33.10150000000025</c:v>
                </c:pt>
                <c:pt idx="527">
                  <c:v>33.101600000000253</c:v>
                </c:pt>
                <c:pt idx="528">
                  <c:v>33.101700000000257</c:v>
                </c:pt>
                <c:pt idx="529">
                  <c:v>33.10180000000026</c:v>
                </c:pt>
                <c:pt idx="530">
                  <c:v>33.101900000000263</c:v>
                </c:pt>
                <c:pt idx="531">
                  <c:v>33.102000000000267</c:v>
                </c:pt>
                <c:pt idx="532">
                  <c:v>33.10210000000027</c:v>
                </c:pt>
                <c:pt idx="533">
                  <c:v>33.102200000000273</c:v>
                </c:pt>
                <c:pt idx="534">
                  <c:v>33.102300000000277</c:v>
                </c:pt>
                <c:pt idx="535">
                  <c:v>33.10240000000028</c:v>
                </c:pt>
                <c:pt idx="536">
                  <c:v>33.102500000000283</c:v>
                </c:pt>
                <c:pt idx="537">
                  <c:v>33.102600000000287</c:v>
                </c:pt>
                <c:pt idx="538">
                  <c:v>33.10270000000029</c:v>
                </c:pt>
                <c:pt idx="539">
                  <c:v>33.102800000000293</c:v>
                </c:pt>
                <c:pt idx="540">
                  <c:v>33.102900000000297</c:v>
                </c:pt>
                <c:pt idx="541">
                  <c:v>33.1030000000003</c:v>
                </c:pt>
                <c:pt idx="542">
                  <c:v>33.103100000000303</c:v>
                </c:pt>
                <c:pt idx="543">
                  <c:v>33.103200000000307</c:v>
                </c:pt>
                <c:pt idx="544">
                  <c:v>33.10330000000031</c:v>
                </c:pt>
                <c:pt idx="545">
                  <c:v>33.103400000000313</c:v>
                </c:pt>
                <c:pt idx="546">
                  <c:v>33.103500000000317</c:v>
                </c:pt>
                <c:pt idx="547">
                  <c:v>33.10360000000032</c:v>
                </c:pt>
                <c:pt idx="548">
                  <c:v>33.103700000000323</c:v>
                </c:pt>
                <c:pt idx="549">
                  <c:v>33.103800000000327</c:v>
                </c:pt>
                <c:pt idx="550">
                  <c:v>33.10390000000033</c:v>
                </c:pt>
                <c:pt idx="551">
                  <c:v>33.104000000000333</c:v>
                </c:pt>
                <c:pt idx="552">
                  <c:v>33.104100000000336</c:v>
                </c:pt>
                <c:pt idx="553">
                  <c:v>33.10420000000034</c:v>
                </c:pt>
                <c:pt idx="554">
                  <c:v>33.104300000000343</c:v>
                </c:pt>
                <c:pt idx="555">
                  <c:v>33.104400000000346</c:v>
                </c:pt>
                <c:pt idx="556">
                  <c:v>33.10450000000035</c:v>
                </c:pt>
                <c:pt idx="557">
                  <c:v>33.104600000000353</c:v>
                </c:pt>
                <c:pt idx="558">
                  <c:v>33.104700000000356</c:v>
                </c:pt>
                <c:pt idx="559">
                  <c:v>33.10480000000036</c:v>
                </c:pt>
                <c:pt idx="560">
                  <c:v>33.104900000000363</c:v>
                </c:pt>
                <c:pt idx="561">
                  <c:v>33.105000000000366</c:v>
                </c:pt>
                <c:pt idx="562">
                  <c:v>33.10510000000037</c:v>
                </c:pt>
                <c:pt idx="563">
                  <c:v>33.105200000000373</c:v>
                </c:pt>
                <c:pt idx="564">
                  <c:v>33.105300000000376</c:v>
                </c:pt>
                <c:pt idx="565">
                  <c:v>33.10540000000038</c:v>
                </c:pt>
                <c:pt idx="566">
                  <c:v>33.105500000000383</c:v>
                </c:pt>
                <c:pt idx="567">
                  <c:v>33.105600000000386</c:v>
                </c:pt>
                <c:pt idx="568">
                  <c:v>33.10570000000039</c:v>
                </c:pt>
                <c:pt idx="569">
                  <c:v>33.105800000000393</c:v>
                </c:pt>
                <c:pt idx="570">
                  <c:v>33.105900000000396</c:v>
                </c:pt>
                <c:pt idx="571">
                  <c:v>33.1060000000004</c:v>
                </c:pt>
                <c:pt idx="572">
                  <c:v>33.106100000000403</c:v>
                </c:pt>
                <c:pt idx="573">
                  <c:v>33.106200000000406</c:v>
                </c:pt>
                <c:pt idx="574">
                  <c:v>33.10630000000041</c:v>
                </c:pt>
                <c:pt idx="575">
                  <c:v>33.106400000000413</c:v>
                </c:pt>
                <c:pt idx="576">
                  <c:v>33.106500000000416</c:v>
                </c:pt>
                <c:pt idx="577">
                  <c:v>33.106600000000419</c:v>
                </c:pt>
                <c:pt idx="578">
                  <c:v>33.106700000000423</c:v>
                </c:pt>
                <c:pt idx="579">
                  <c:v>33.106800000000426</c:v>
                </c:pt>
                <c:pt idx="580">
                  <c:v>33.106900000000429</c:v>
                </c:pt>
                <c:pt idx="581">
                  <c:v>33.107000000000433</c:v>
                </c:pt>
                <c:pt idx="582">
                  <c:v>33.107100000000436</c:v>
                </c:pt>
                <c:pt idx="583">
                  <c:v>33.107200000000439</c:v>
                </c:pt>
                <c:pt idx="584">
                  <c:v>33.107300000000443</c:v>
                </c:pt>
                <c:pt idx="585">
                  <c:v>33.107400000000446</c:v>
                </c:pt>
                <c:pt idx="586">
                  <c:v>33.107500000000449</c:v>
                </c:pt>
                <c:pt idx="587">
                  <c:v>33.107600000000453</c:v>
                </c:pt>
                <c:pt idx="588">
                  <c:v>33.107700000000456</c:v>
                </c:pt>
                <c:pt idx="589">
                  <c:v>33.107800000000459</c:v>
                </c:pt>
                <c:pt idx="590">
                  <c:v>33.107900000000463</c:v>
                </c:pt>
                <c:pt idx="591">
                  <c:v>33.108000000000466</c:v>
                </c:pt>
                <c:pt idx="592">
                  <c:v>33.108100000000469</c:v>
                </c:pt>
                <c:pt idx="593">
                  <c:v>33.108200000000473</c:v>
                </c:pt>
                <c:pt idx="594">
                  <c:v>33.108300000000476</c:v>
                </c:pt>
                <c:pt idx="595">
                  <c:v>33.108400000000479</c:v>
                </c:pt>
                <c:pt idx="596">
                  <c:v>33.108500000000483</c:v>
                </c:pt>
                <c:pt idx="597">
                  <c:v>33.108600000000486</c:v>
                </c:pt>
                <c:pt idx="598">
                  <c:v>33.108700000000489</c:v>
                </c:pt>
                <c:pt idx="599">
                  <c:v>33.108800000000493</c:v>
                </c:pt>
                <c:pt idx="600">
                  <c:v>33.108900000000496</c:v>
                </c:pt>
                <c:pt idx="601">
                  <c:v>33.109000000000499</c:v>
                </c:pt>
                <c:pt idx="602">
                  <c:v>33.109100000000502</c:v>
                </c:pt>
                <c:pt idx="603">
                  <c:v>33.109200000000506</c:v>
                </c:pt>
                <c:pt idx="604">
                  <c:v>33.109300000000509</c:v>
                </c:pt>
                <c:pt idx="605">
                  <c:v>33.109400000000512</c:v>
                </c:pt>
                <c:pt idx="606">
                  <c:v>33.109500000000516</c:v>
                </c:pt>
                <c:pt idx="607">
                  <c:v>33.109600000000519</c:v>
                </c:pt>
                <c:pt idx="608">
                  <c:v>33.109700000000522</c:v>
                </c:pt>
                <c:pt idx="609">
                  <c:v>33.109800000000526</c:v>
                </c:pt>
                <c:pt idx="610">
                  <c:v>33.109900000000529</c:v>
                </c:pt>
                <c:pt idx="611">
                  <c:v>33.110000000000532</c:v>
                </c:pt>
                <c:pt idx="612">
                  <c:v>33.110100000000536</c:v>
                </c:pt>
                <c:pt idx="613">
                  <c:v>33.110200000000539</c:v>
                </c:pt>
                <c:pt idx="614">
                  <c:v>33.110300000000542</c:v>
                </c:pt>
                <c:pt idx="615">
                  <c:v>33.110400000000546</c:v>
                </c:pt>
                <c:pt idx="616">
                  <c:v>33.110500000000549</c:v>
                </c:pt>
                <c:pt idx="617">
                  <c:v>33.110600000000552</c:v>
                </c:pt>
                <c:pt idx="618">
                  <c:v>33.110700000000556</c:v>
                </c:pt>
                <c:pt idx="619">
                  <c:v>33.110800000000559</c:v>
                </c:pt>
                <c:pt idx="620">
                  <c:v>33.110900000000562</c:v>
                </c:pt>
                <c:pt idx="621">
                  <c:v>33.111000000000566</c:v>
                </c:pt>
                <c:pt idx="622">
                  <c:v>33.111100000000569</c:v>
                </c:pt>
                <c:pt idx="623">
                  <c:v>33.111200000000572</c:v>
                </c:pt>
                <c:pt idx="624">
                  <c:v>33.111300000000575</c:v>
                </c:pt>
                <c:pt idx="625">
                  <c:v>33.111400000000579</c:v>
                </c:pt>
                <c:pt idx="626">
                  <c:v>33.111500000000582</c:v>
                </c:pt>
                <c:pt idx="627">
                  <c:v>33.111600000000585</c:v>
                </c:pt>
                <c:pt idx="628">
                  <c:v>33.111700000000589</c:v>
                </c:pt>
                <c:pt idx="629">
                  <c:v>33.111800000000592</c:v>
                </c:pt>
                <c:pt idx="630">
                  <c:v>33.111900000000595</c:v>
                </c:pt>
                <c:pt idx="631">
                  <c:v>33.112000000000599</c:v>
                </c:pt>
                <c:pt idx="632">
                  <c:v>33.112100000000602</c:v>
                </c:pt>
                <c:pt idx="633">
                  <c:v>33.112200000000605</c:v>
                </c:pt>
                <c:pt idx="634">
                  <c:v>33.112300000000609</c:v>
                </c:pt>
                <c:pt idx="635">
                  <c:v>33.112400000000612</c:v>
                </c:pt>
                <c:pt idx="636">
                  <c:v>33.112500000000615</c:v>
                </c:pt>
                <c:pt idx="637">
                  <c:v>33.112600000000619</c:v>
                </c:pt>
                <c:pt idx="638">
                  <c:v>33.112700000000622</c:v>
                </c:pt>
                <c:pt idx="639">
                  <c:v>33.112800000000625</c:v>
                </c:pt>
                <c:pt idx="640">
                  <c:v>33.112900000000629</c:v>
                </c:pt>
                <c:pt idx="641">
                  <c:v>33.113000000000632</c:v>
                </c:pt>
                <c:pt idx="642">
                  <c:v>33.113100000000635</c:v>
                </c:pt>
                <c:pt idx="643">
                  <c:v>33.113200000000639</c:v>
                </c:pt>
                <c:pt idx="644">
                  <c:v>33.113300000000642</c:v>
                </c:pt>
                <c:pt idx="645">
                  <c:v>33.113400000000645</c:v>
                </c:pt>
                <c:pt idx="646">
                  <c:v>33.113500000000649</c:v>
                </c:pt>
                <c:pt idx="647">
                  <c:v>33.113600000000652</c:v>
                </c:pt>
                <c:pt idx="648">
                  <c:v>33.113700000000655</c:v>
                </c:pt>
                <c:pt idx="649">
                  <c:v>33.113800000000658</c:v>
                </c:pt>
                <c:pt idx="650">
                  <c:v>33.113900000000662</c:v>
                </c:pt>
                <c:pt idx="651">
                  <c:v>33.114000000000665</c:v>
                </c:pt>
                <c:pt idx="652">
                  <c:v>33.114100000000668</c:v>
                </c:pt>
                <c:pt idx="653">
                  <c:v>33.114200000000672</c:v>
                </c:pt>
                <c:pt idx="654">
                  <c:v>33.114300000000675</c:v>
                </c:pt>
                <c:pt idx="655">
                  <c:v>33.114400000000678</c:v>
                </c:pt>
                <c:pt idx="656">
                  <c:v>33.114500000000682</c:v>
                </c:pt>
                <c:pt idx="657">
                  <c:v>33.114600000000685</c:v>
                </c:pt>
                <c:pt idx="658">
                  <c:v>33.114700000000688</c:v>
                </c:pt>
                <c:pt idx="659">
                  <c:v>33.114800000000692</c:v>
                </c:pt>
                <c:pt idx="660">
                  <c:v>33.114900000000695</c:v>
                </c:pt>
                <c:pt idx="661">
                  <c:v>33.115000000000698</c:v>
                </c:pt>
                <c:pt idx="662">
                  <c:v>33.115100000000702</c:v>
                </c:pt>
                <c:pt idx="663">
                  <c:v>33.115200000000705</c:v>
                </c:pt>
                <c:pt idx="664">
                  <c:v>33.115300000000708</c:v>
                </c:pt>
                <c:pt idx="665">
                  <c:v>33.115400000000712</c:v>
                </c:pt>
                <c:pt idx="666">
                  <c:v>33.115500000000715</c:v>
                </c:pt>
                <c:pt idx="667">
                  <c:v>33.115600000000718</c:v>
                </c:pt>
                <c:pt idx="668">
                  <c:v>33.115700000000722</c:v>
                </c:pt>
                <c:pt idx="669">
                  <c:v>33.115800000000725</c:v>
                </c:pt>
                <c:pt idx="670">
                  <c:v>33.115900000000728</c:v>
                </c:pt>
                <c:pt idx="671">
                  <c:v>33.116000000000732</c:v>
                </c:pt>
                <c:pt idx="672">
                  <c:v>33.116100000000735</c:v>
                </c:pt>
                <c:pt idx="673">
                  <c:v>33.116200000000738</c:v>
                </c:pt>
                <c:pt idx="674">
                  <c:v>33.116300000000741</c:v>
                </c:pt>
                <c:pt idx="675">
                  <c:v>33.116400000000745</c:v>
                </c:pt>
                <c:pt idx="676">
                  <c:v>33.116500000000748</c:v>
                </c:pt>
                <c:pt idx="677">
                  <c:v>33.116600000000751</c:v>
                </c:pt>
                <c:pt idx="678">
                  <c:v>33.116700000000755</c:v>
                </c:pt>
                <c:pt idx="679">
                  <c:v>33.116800000000758</c:v>
                </c:pt>
                <c:pt idx="680">
                  <c:v>33.116900000000761</c:v>
                </c:pt>
                <c:pt idx="681">
                  <c:v>33.117000000000765</c:v>
                </c:pt>
                <c:pt idx="682">
                  <c:v>33.117100000000768</c:v>
                </c:pt>
                <c:pt idx="683">
                  <c:v>33.117200000000771</c:v>
                </c:pt>
                <c:pt idx="684">
                  <c:v>33.117300000000775</c:v>
                </c:pt>
                <c:pt idx="685">
                  <c:v>33.117400000000778</c:v>
                </c:pt>
                <c:pt idx="686">
                  <c:v>33.117500000000781</c:v>
                </c:pt>
                <c:pt idx="687">
                  <c:v>33.117600000000785</c:v>
                </c:pt>
                <c:pt idx="688">
                  <c:v>33.117700000000788</c:v>
                </c:pt>
                <c:pt idx="689">
                  <c:v>33.117800000000791</c:v>
                </c:pt>
                <c:pt idx="690">
                  <c:v>33.117900000000795</c:v>
                </c:pt>
                <c:pt idx="691">
                  <c:v>33.118000000000798</c:v>
                </c:pt>
                <c:pt idx="692">
                  <c:v>33.118100000000801</c:v>
                </c:pt>
                <c:pt idx="693">
                  <c:v>33.118200000000805</c:v>
                </c:pt>
                <c:pt idx="694">
                  <c:v>33.118300000000808</c:v>
                </c:pt>
                <c:pt idx="695">
                  <c:v>33.118400000000811</c:v>
                </c:pt>
                <c:pt idx="696">
                  <c:v>33.118500000000815</c:v>
                </c:pt>
                <c:pt idx="697">
                  <c:v>33.118600000000818</c:v>
                </c:pt>
                <c:pt idx="698">
                  <c:v>33.118700000000821</c:v>
                </c:pt>
                <c:pt idx="699">
                  <c:v>33.118800000000824</c:v>
                </c:pt>
                <c:pt idx="700">
                  <c:v>33.118900000000828</c:v>
                </c:pt>
                <c:pt idx="701">
                  <c:v>33.119000000000831</c:v>
                </c:pt>
                <c:pt idx="702">
                  <c:v>33.119100000000834</c:v>
                </c:pt>
                <c:pt idx="703">
                  <c:v>33.119200000000838</c:v>
                </c:pt>
                <c:pt idx="704">
                  <c:v>33.119300000000841</c:v>
                </c:pt>
                <c:pt idx="705">
                  <c:v>33.119400000000844</c:v>
                </c:pt>
                <c:pt idx="706">
                  <c:v>33.119500000000848</c:v>
                </c:pt>
                <c:pt idx="707">
                  <c:v>33.119600000000851</c:v>
                </c:pt>
                <c:pt idx="708">
                  <c:v>33.119700000000854</c:v>
                </c:pt>
                <c:pt idx="709">
                  <c:v>33.119800000000858</c:v>
                </c:pt>
                <c:pt idx="710">
                  <c:v>33.119900000000861</c:v>
                </c:pt>
                <c:pt idx="711">
                  <c:v>33.120000000000864</c:v>
                </c:pt>
                <c:pt idx="712">
                  <c:v>33.120100000000868</c:v>
                </c:pt>
                <c:pt idx="713">
                  <c:v>33.120200000000871</c:v>
                </c:pt>
                <c:pt idx="714">
                  <c:v>33.120300000000874</c:v>
                </c:pt>
                <c:pt idx="715">
                  <c:v>33.120400000000878</c:v>
                </c:pt>
                <c:pt idx="716">
                  <c:v>33.120500000000881</c:v>
                </c:pt>
                <c:pt idx="717">
                  <c:v>33.120600000000884</c:v>
                </c:pt>
                <c:pt idx="718">
                  <c:v>33.120700000000888</c:v>
                </c:pt>
                <c:pt idx="719">
                  <c:v>33.120800000000891</c:v>
                </c:pt>
                <c:pt idx="720">
                  <c:v>33.120900000000894</c:v>
                </c:pt>
                <c:pt idx="721">
                  <c:v>33.121000000000898</c:v>
                </c:pt>
                <c:pt idx="722">
                  <c:v>33.121100000000901</c:v>
                </c:pt>
                <c:pt idx="723">
                  <c:v>33.121200000000904</c:v>
                </c:pt>
                <c:pt idx="724">
                  <c:v>33.121300000000907</c:v>
                </c:pt>
                <c:pt idx="725">
                  <c:v>33.121400000000911</c:v>
                </c:pt>
                <c:pt idx="726">
                  <c:v>33.121500000000914</c:v>
                </c:pt>
                <c:pt idx="727">
                  <c:v>33.121600000000917</c:v>
                </c:pt>
                <c:pt idx="728">
                  <c:v>33.121700000000921</c:v>
                </c:pt>
                <c:pt idx="729">
                  <c:v>33.121800000000924</c:v>
                </c:pt>
                <c:pt idx="730">
                  <c:v>33.121900000000927</c:v>
                </c:pt>
                <c:pt idx="731">
                  <c:v>33.122000000000931</c:v>
                </c:pt>
                <c:pt idx="732">
                  <c:v>33.122100000000934</c:v>
                </c:pt>
                <c:pt idx="733">
                  <c:v>33.122200000000937</c:v>
                </c:pt>
                <c:pt idx="734">
                  <c:v>33.122300000000941</c:v>
                </c:pt>
                <c:pt idx="735">
                  <c:v>33.122400000000944</c:v>
                </c:pt>
                <c:pt idx="736">
                  <c:v>33.122500000000947</c:v>
                </c:pt>
                <c:pt idx="737">
                  <c:v>33.122600000000951</c:v>
                </c:pt>
                <c:pt idx="738">
                  <c:v>33.122700000000954</c:v>
                </c:pt>
                <c:pt idx="739">
                  <c:v>33.122800000000957</c:v>
                </c:pt>
                <c:pt idx="740">
                  <c:v>33.122900000000961</c:v>
                </c:pt>
                <c:pt idx="741">
                  <c:v>33.123000000000964</c:v>
                </c:pt>
                <c:pt idx="742">
                  <c:v>33.123100000000967</c:v>
                </c:pt>
                <c:pt idx="743">
                  <c:v>33.123200000000971</c:v>
                </c:pt>
                <c:pt idx="744">
                  <c:v>33.123300000000974</c:v>
                </c:pt>
                <c:pt idx="745">
                  <c:v>33.123400000000977</c:v>
                </c:pt>
                <c:pt idx="746">
                  <c:v>33.12350000000098</c:v>
                </c:pt>
                <c:pt idx="747">
                  <c:v>33.123600000000984</c:v>
                </c:pt>
                <c:pt idx="748">
                  <c:v>33.123700000000987</c:v>
                </c:pt>
                <c:pt idx="749">
                  <c:v>33.12380000000099</c:v>
                </c:pt>
                <c:pt idx="750">
                  <c:v>33.123900000000994</c:v>
                </c:pt>
                <c:pt idx="751">
                  <c:v>33.124000000000997</c:v>
                </c:pt>
                <c:pt idx="752">
                  <c:v>33.124100000001</c:v>
                </c:pt>
                <c:pt idx="753">
                  <c:v>33.124200000001004</c:v>
                </c:pt>
                <c:pt idx="754">
                  <c:v>33.124300000001007</c:v>
                </c:pt>
                <c:pt idx="755">
                  <c:v>33.12440000000101</c:v>
                </c:pt>
                <c:pt idx="756">
                  <c:v>33.124500000001014</c:v>
                </c:pt>
                <c:pt idx="757">
                  <c:v>33.124600000001017</c:v>
                </c:pt>
                <c:pt idx="758">
                  <c:v>33.12470000000102</c:v>
                </c:pt>
                <c:pt idx="759">
                  <c:v>33.124800000001024</c:v>
                </c:pt>
                <c:pt idx="760">
                  <c:v>33.124900000001027</c:v>
                </c:pt>
                <c:pt idx="761">
                  <c:v>33.12500000000103</c:v>
                </c:pt>
                <c:pt idx="762">
                  <c:v>33.125100000001034</c:v>
                </c:pt>
                <c:pt idx="763">
                  <c:v>33.125200000001037</c:v>
                </c:pt>
                <c:pt idx="764">
                  <c:v>33.12530000000104</c:v>
                </c:pt>
                <c:pt idx="765">
                  <c:v>33.125400000001044</c:v>
                </c:pt>
                <c:pt idx="766">
                  <c:v>33.125500000001047</c:v>
                </c:pt>
                <c:pt idx="767">
                  <c:v>33.12560000000105</c:v>
                </c:pt>
                <c:pt idx="768">
                  <c:v>33.125700000001054</c:v>
                </c:pt>
                <c:pt idx="769">
                  <c:v>33.125800000001057</c:v>
                </c:pt>
                <c:pt idx="770">
                  <c:v>33.12590000000106</c:v>
                </c:pt>
                <c:pt idx="771">
                  <c:v>33.126000000001063</c:v>
                </c:pt>
                <c:pt idx="772">
                  <c:v>33.126100000001067</c:v>
                </c:pt>
                <c:pt idx="773">
                  <c:v>33.12620000000107</c:v>
                </c:pt>
                <c:pt idx="774">
                  <c:v>33.126300000001073</c:v>
                </c:pt>
                <c:pt idx="775">
                  <c:v>33.126400000001077</c:v>
                </c:pt>
                <c:pt idx="776">
                  <c:v>33.12650000000108</c:v>
                </c:pt>
                <c:pt idx="777">
                  <c:v>33.126600000001083</c:v>
                </c:pt>
                <c:pt idx="778">
                  <c:v>33.126700000001087</c:v>
                </c:pt>
                <c:pt idx="779">
                  <c:v>33.12680000000109</c:v>
                </c:pt>
                <c:pt idx="780">
                  <c:v>33.126900000001093</c:v>
                </c:pt>
                <c:pt idx="781">
                  <c:v>33.127000000001097</c:v>
                </c:pt>
                <c:pt idx="782">
                  <c:v>33.1271000000011</c:v>
                </c:pt>
                <c:pt idx="783">
                  <c:v>33.127200000001103</c:v>
                </c:pt>
                <c:pt idx="784">
                  <c:v>33.127300000001107</c:v>
                </c:pt>
                <c:pt idx="785">
                  <c:v>33.12740000000111</c:v>
                </c:pt>
                <c:pt idx="786">
                  <c:v>33.127500000001113</c:v>
                </c:pt>
                <c:pt idx="787">
                  <c:v>33.127600000001117</c:v>
                </c:pt>
                <c:pt idx="788">
                  <c:v>33.12770000000112</c:v>
                </c:pt>
                <c:pt idx="789">
                  <c:v>33.127800000001123</c:v>
                </c:pt>
                <c:pt idx="790">
                  <c:v>33.127900000001127</c:v>
                </c:pt>
                <c:pt idx="791">
                  <c:v>33.12800000000113</c:v>
                </c:pt>
                <c:pt idx="792">
                  <c:v>33.128100000001133</c:v>
                </c:pt>
                <c:pt idx="793">
                  <c:v>33.128200000001137</c:v>
                </c:pt>
                <c:pt idx="794">
                  <c:v>33.12830000000114</c:v>
                </c:pt>
                <c:pt idx="795">
                  <c:v>33.128400000001143</c:v>
                </c:pt>
                <c:pt idx="796">
                  <c:v>33.128500000001146</c:v>
                </c:pt>
                <c:pt idx="797">
                  <c:v>33.12860000000115</c:v>
                </c:pt>
                <c:pt idx="798">
                  <c:v>33.128700000001153</c:v>
                </c:pt>
                <c:pt idx="799">
                  <c:v>33.128800000001156</c:v>
                </c:pt>
                <c:pt idx="800">
                  <c:v>33.12890000000116</c:v>
                </c:pt>
                <c:pt idx="801">
                  <c:v>33.129000000001163</c:v>
                </c:pt>
                <c:pt idx="802">
                  <c:v>33.129100000001166</c:v>
                </c:pt>
                <c:pt idx="803">
                  <c:v>33.12920000000117</c:v>
                </c:pt>
                <c:pt idx="804">
                  <c:v>33.129300000001173</c:v>
                </c:pt>
                <c:pt idx="805">
                  <c:v>33.129400000001176</c:v>
                </c:pt>
                <c:pt idx="806">
                  <c:v>33.12950000000118</c:v>
                </c:pt>
                <c:pt idx="807">
                  <c:v>33.129600000001183</c:v>
                </c:pt>
                <c:pt idx="808">
                  <c:v>33.129700000001186</c:v>
                </c:pt>
                <c:pt idx="809">
                  <c:v>33.12980000000119</c:v>
                </c:pt>
                <c:pt idx="810">
                  <c:v>33.129900000001193</c:v>
                </c:pt>
                <c:pt idx="811">
                  <c:v>33.130000000001196</c:v>
                </c:pt>
                <c:pt idx="812">
                  <c:v>33.1301000000012</c:v>
                </c:pt>
                <c:pt idx="813">
                  <c:v>33.130200000001203</c:v>
                </c:pt>
                <c:pt idx="814">
                  <c:v>33.130300000001206</c:v>
                </c:pt>
                <c:pt idx="815">
                  <c:v>33.13040000000121</c:v>
                </c:pt>
                <c:pt idx="816">
                  <c:v>33.130500000001213</c:v>
                </c:pt>
                <c:pt idx="817">
                  <c:v>33.130600000001216</c:v>
                </c:pt>
                <c:pt idx="818">
                  <c:v>33.13070000000122</c:v>
                </c:pt>
                <c:pt idx="819">
                  <c:v>33.130800000001223</c:v>
                </c:pt>
                <c:pt idx="820">
                  <c:v>33.130900000001226</c:v>
                </c:pt>
                <c:pt idx="821">
                  <c:v>33.131000000001229</c:v>
                </c:pt>
                <c:pt idx="822">
                  <c:v>33.131100000001233</c:v>
                </c:pt>
                <c:pt idx="823">
                  <c:v>33.131200000001236</c:v>
                </c:pt>
                <c:pt idx="824">
                  <c:v>33.131300000001239</c:v>
                </c:pt>
                <c:pt idx="825">
                  <c:v>33.131400000001243</c:v>
                </c:pt>
                <c:pt idx="826">
                  <c:v>33.131500000001246</c:v>
                </c:pt>
                <c:pt idx="827">
                  <c:v>33.131600000001249</c:v>
                </c:pt>
                <c:pt idx="828">
                  <c:v>33.131700000001253</c:v>
                </c:pt>
                <c:pt idx="829">
                  <c:v>33.131800000001256</c:v>
                </c:pt>
                <c:pt idx="830">
                  <c:v>33.131900000001259</c:v>
                </c:pt>
                <c:pt idx="831">
                  <c:v>33.132000000001263</c:v>
                </c:pt>
                <c:pt idx="832">
                  <c:v>33.132100000001266</c:v>
                </c:pt>
                <c:pt idx="833">
                  <c:v>33.132200000001269</c:v>
                </c:pt>
                <c:pt idx="834">
                  <c:v>33.132300000001273</c:v>
                </c:pt>
                <c:pt idx="835">
                  <c:v>33.132400000001276</c:v>
                </c:pt>
                <c:pt idx="836">
                  <c:v>33.132500000001279</c:v>
                </c:pt>
                <c:pt idx="837">
                  <c:v>33.132600000001283</c:v>
                </c:pt>
                <c:pt idx="838">
                  <c:v>33.132700000001286</c:v>
                </c:pt>
                <c:pt idx="839">
                  <c:v>33.132800000001289</c:v>
                </c:pt>
                <c:pt idx="840">
                  <c:v>33.132900000001293</c:v>
                </c:pt>
                <c:pt idx="841">
                  <c:v>33.133000000001296</c:v>
                </c:pt>
                <c:pt idx="842">
                  <c:v>33.133100000001299</c:v>
                </c:pt>
                <c:pt idx="843">
                  <c:v>33.133200000001302</c:v>
                </c:pt>
                <c:pt idx="844">
                  <c:v>33.133300000001306</c:v>
                </c:pt>
                <c:pt idx="845">
                  <c:v>33.133400000001309</c:v>
                </c:pt>
                <c:pt idx="846">
                  <c:v>33.133500000001312</c:v>
                </c:pt>
                <c:pt idx="847">
                  <c:v>33.133600000001316</c:v>
                </c:pt>
                <c:pt idx="848">
                  <c:v>33.133700000001319</c:v>
                </c:pt>
                <c:pt idx="849">
                  <c:v>33.133800000001322</c:v>
                </c:pt>
                <c:pt idx="850">
                  <c:v>33.133900000001326</c:v>
                </c:pt>
                <c:pt idx="851">
                  <c:v>33.134000000001329</c:v>
                </c:pt>
                <c:pt idx="852">
                  <c:v>33.134100000001332</c:v>
                </c:pt>
                <c:pt idx="853">
                  <c:v>33.134200000001336</c:v>
                </c:pt>
                <c:pt idx="854">
                  <c:v>33.134300000001339</c:v>
                </c:pt>
                <c:pt idx="855">
                  <c:v>33.134400000001342</c:v>
                </c:pt>
                <c:pt idx="856">
                  <c:v>33.134500000001346</c:v>
                </c:pt>
                <c:pt idx="857">
                  <c:v>33.134600000001349</c:v>
                </c:pt>
                <c:pt idx="858">
                  <c:v>33.134700000001352</c:v>
                </c:pt>
                <c:pt idx="859">
                  <c:v>33.134800000001356</c:v>
                </c:pt>
                <c:pt idx="860">
                  <c:v>33.134900000001359</c:v>
                </c:pt>
                <c:pt idx="861">
                  <c:v>33.135000000001362</c:v>
                </c:pt>
                <c:pt idx="862">
                  <c:v>33.135100000001366</c:v>
                </c:pt>
                <c:pt idx="863">
                  <c:v>33.135200000001369</c:v>
                </c:pt>
                <c:pt idx="864">
                  <c:v>33.135300000001372</c:v>
                </c:pt>
                <c:pt idx="865">
                  <c:v>33.135400000001376</c:v>
                </c:pt>
                <c:pt idx="866">
                  <c:v>33.135500000001379</c:v>
                </c:pt>
                <c:pt idx="867">
                  <c:v>33.135600000001382</c:v>
                </c:pt>
                <c:pt idx="868">
                  <c:v>33.135700000001385</c:v>
                </c:pt>
                <c:pt idx="869">
                  <c:v>33.135800000001389</c:v>
                </c:pt>
                <c:pt idx="870">
                  <c:v>33.135900000001392</c:v>
                </c:pt>
                <c:pt idx="871">
                  <c:v>33.136000000001395</c:v>
                </c:pt>
                <c:pt idx="872">
                  <c:v>33.136100000001399</c:v>
                </c:pt>
                <c:pt idx="873">
                  <c:v>33.136200000001402</c:v>
                </c:pt>
                <c:pt idx="874">
                  <c:v>33.136300000001405</c:v>
                </c:pt>
                <c:pt idx="875">
                  <c:v>33.136400000001409</c:v>
                </c:pt>
                <c:pt idx="876">
                  <c:v>33.136500000001412</c:v>
                </c:pt>
                <c:pt idx="877">
                  <c:v>33.136600000001415</c:v>
                </c:pt>
                <c:pt idx="878">
                  <c:v>33.136700000001419</c:v>
                </c:pt>
                <c:pt idx="879">
                  <c:v>33.136800000001422</c:v>
                </c:pt>
                <c:pt idx="880">
                  <c:v>33.136900000001425</c:v>
                </c:pt>
                <c:pt idx="881">
                  <c:v>33.137000000001429</c:v>
                </c:pt>
                <c:pt idx="882">
                  <c:v>33.137100000001432</c:v>
                </c:pt>
                <c:pt idx="883">
                  <c:v>33.137200000001435</c:v>
                </c:pt>
                <c:pt idx="884">
                  <c:v>33.137300000001439</c:v>
                </c:pt>
                <c:pt idx="885">
                  <c:v>33.137400000001442</c:v>
                </c:pt>
                <c:pt idx="886">
                  <c:v>33.137500000001445</c:v>
                </c:pt>
                <c:pt idx="887">
                  <c:v>33.137600000001449</c:v>
                </c:pt>
                <c:pt idx="888">
                  <c:v>33.137700000001452</c:v>
                </c:pt>
                <c:pt idx="889">
                  <c:v>33.137800000001455</c:v>
                </c:pt>
                <c:pt idx="890">
                  <c:v>33.137900000001459</c:v>
                </c:pt>
                <c:pt idx="891">
                  <c:v>33.138000000001462</c:v>
                </c:pt>
                <c:pt idx="892">
                  <c:v>33.138100000001465</c:v>
                </c:pt>
                <c:pt idx="893">
                  <c:v>33.138200000001468</c:v>
                </c:pt>
                <c:pt idx="894">
                  <c:v>33.138300000001472</c:v>
                </c:pt>
                <c:pt idx="895">
                  <c:v>33.138400000001475</c:v>
                </c:pt>
                <c:pt idx="896">
                  <c:v>33.138500000001478</c:v>
                </c:pt>
                <c:pt idx="897">
                  <c:v>33.138600000001482</c:v>
                </c:pt>
                <c:pt idx="898">
                  <c:v>33.138700000001485</c:v>
                </c:pt>
                <c:pt idx="899">
                  <c:v>33.138800000001488</c:v>
                </c:pt>
                <c:pt idx="900">
                  <c:v>33.138900000001492</c:v>
                </c:pt>
                <c:pt idx="901">
                  <c:v>33.139000000001495</c:v>
                </c:pt>
                <c:pt idx="902">
                  <c:v>33.139100000001498</c:v>
                </c:pt>
                <c:pt idx="903">
                  <c:v>33.139200000001502</c:v>
                </c:pt>
                <c:pt idx="904">
                  <c:v>33.139300000001505</c:v>
                </c:pt>
                <c:pt idx="905">
                  <c:v>33.139400000001508</c:v>
                </c:pt>
                <c:pt idx="906">
                  <c:v>33.139500000001512</c:v>
                </c:pt>
                <c:pt idx="907">
                  <c:v>33.139600000001515</c:v>
                </c:pt>
                <c:pt idx="908">
                  <c:v>33.139700000001518</c:v>
                </c:pt>
                <c:pt idx="909">
                  <c:v>33.139800000001522</c:v>
                </c:pt>
                <c:pt idx="910">
                  <c:v>33.139900000001525</c:v>
                </c:pt>
                <c:pt idx="911">
                  <c:v>33.140000000001528</c:v>
                </c:pt>
                <c:pt idx="912">
                  <c:v>33.140100000001532</c:v>
                </c:pt>
                <c:pt idx="913">
                  <c:v>33.140200000001535</c:v>
                </c:pt>
                <c:pt idx="914">
                  <c:v>33.140300000001538</c:v>
                </c:pt>
                <c:pt idx="915">
                  <c:v>33.140400000001542</c:v>
                </c:pt>
                <c:pt idx="916">
                  <c:v>33.140500000001545</c:v>
                </c:pt>
                <c:pt idx="917">
                  <c:v>33.140600000001548</c:v>
                </c:pt>
                <c:pt idx="918">
                  <c:v>33.140700000001551</c:v>
                </c:pt>
                <c:pt idx="919">
                  <c:v>33.140800000001555</c:v>
                </c:pt>
                <c:pt idx="920">
                  <c:v>33.140900000001558</c:v>
                </c:pt>
                <c:pt idx="921">
                  <c:v>33.141000000001561</c:v>
                </c:pt>
                <c:pt idx="922">
                  <c:v>33.141100000001565</c:v>
                </c:pt>
                <c:pt idx="923">
                  <c:v>33.141200000001568</c:v>
                </c:pt>
                <c:pt idx="924">
                  <c:v>33.141300000001571</c:v>
                </c:pt>
                <c:pt idx="925">
                  <c:v>33.141400000001575</c:v>
                </c:pt>
                <c:pt idx="926">
                  <c:v>33.141500000001578</c:v>
                </c:pt>
                <c:pt idx="927">
                  <c:v>33.141600000001581</c:v>
                </c:pt>
                <c:pt idx="928">
                  <c:v>33.141700000001585</c:v>
                </c:pt>
                <c:pt idx="929">
                  <c:v>33.141800000001588</c:v>
                </c:pt>
                <c:pt idx="930">
                  <c:v>33.141900000001591</c:v>
                </c:pt>
                <c:pt idx="931">
                  <c:v>33.142000000001595</c:v>
                </c:pt>
                <c:pt idx="932">
                  <c:v>33.142100000001598</c:v>
                </c:pt>
                <c:pt idx="933">
                  <c:v>33.142200000001601</c:v>
                </c:pt>
                <c:pt idx="934">
                  <c:v>33.142300000001605</c:v>
                </c:pt>
                <c:pt idx="935">
                  <c:v>33.142400000001608</c:v>
                </c:pt>
                <c:pt idx="936">
                  <c:v>33.142500000001611</c:v>
                </c:pt>
                <c:pt idx="937">
                  <c:v>33.142600000001615</c:v>
                </c:pt>
                <c:pt idx="938">
                  <c:v>33.142700000001618</c:v>
                </c:pt>
                <c:pt idx="939">
                  <c:v>33.142800000001621</c:v>
                </c:pt>
                <c:pt idx="940">
                  <c:v>33.142900000001625</c:v>
                </c:pt>
                <c:pt idx="941">
                  <c:v>33.143000000001628</c:v>
                </c:pt>
                <c:pt idx="942">
                  <c:v>33.143100000001631</c:v>
                </c:pt>
                <c:pt idx="943">
                  <c:v>33.143200000001634</c:v>
                </c:pt>
                <c:pt idx="944">
                  <c:v>33.143300000001638</c:v>
                </c:pt>
                <c:pt idx="945">
                  <c:v>33.143400000001641</c:v>
                </c:pt>
                <c:pt idx="946">
                  <c:v>33.143500000001644</c:v>
                </c:pt>
                <c:pt idx="947">
                  <c:v>33.143600000001648</c:v>
                </c:pt>
                <c:pt idx="948">
                  <c:v>33.143700000001651</c:v>
                </c:pt>
                <c:pt idx="949">
                  <c:v>33.143800000001654</c:v>
                </c:pt>
                <c:pt idx="950">
                  <c:v>33.143900000001658</c:v>
                </c:pt>
                <c:pt idx="951">
                  <c:v>33.144000000001661</c:v>
                </c:pt>
                <c:pt idx="952">
                  <c:v>33.144100000001664</c:v>
                </c:pt>
                <c:pt idx="953">
                  <c:v>33.144200000001668</c:v>
                </c:pt>
                <c:pt idx="954">
                  <c:v>33.144300000001671</c:v>
                </c:pt>
                <c:pt idx="955">
                  <c:v>33.144400000001674</c:v>
                </c:pt>
                <c:pt idx="956">
                  <c:v>33.144500000001678</c:v>
                </c:pt>
                <c:pt idx="957">
                  <c:v>33.144600000001681</c:v>
                </c:pt>
                <c:pt idx="958">
                  <c:v>33.144700000001684</c:v>
                </c:pt>
                <c:pt idx="959">
                  <c:v>33.144800000001688</c:v>
                </c:pt>
                <c:pt idx="960">
                  <c:v>33.144900000001691</c:v>
                </c:pt>
                <c:pt idx="961">
                  <c:v>33.145000000001694</c:v>
                </c:pt>
                <c:pt idx="962">
                  <c:v>33.145100000001698</c:v>
                </c:pt>
                <c:pt idx="963">
                  <c:v>33.145200000001701</c:v>
                </c:pt>
                <c:pt idx="964">
                  <c:v>33.145300000001704</c:v>
                </c:pt>
                <c:pt idx="965">
                  <c:v>33.145400000001707</c:v>
                </c:pt>
                <c:pt idx="966">
                  <c:v>33.145500000001711</c:v>
                </c:pt>
                <c:pt idx="967">
                  <c:v>33.145600000001714</c:v>
                </c:pt>
                <c:pt idx="968">
                  <c:v>33.145700000001717</c:v>
                </c:pt>
                <c:pt idx="969">
                  <c:v>33.145800000001721</c:v>
                </c:pt>
                <c:pt idx="970">
                  <c:v>33.145900000001724</c:v>
                </c:pt>
                <c:pt idx="971">
                  <c:v>33.146000000001727</c:v>
                </c:pt>
                <c:pt idx="972">
                  <c:v>33.146100000001731</c:v>
                </c:pt>
                <c:pt idx="973">
                  <c:v>33.146200000001734</c:v>
                </c:pt>
                <c:pt idx="974">
                  <c:v>33.146300000001737</c:v>
                </c:pt>
                <c:pt idx="975">
                  <c:v>33.146400000001741</c:v>
                </c:pt>
                <c:pt idx="976">
                  <c:v>33.146500000001744</c:v>
                </c:pt>
                <c:pt idx="977">
                  <c:v>33.146600000001747</c:v>
                </c:pt>
                <c:pt idx="978">
                  <c:v>33.146700000001751</c:v>
                </c:pt>
                <c:pt idx="979">
                  <c:v>33.146800000001754</c:v>
                </c:pt>
                <c:pt idx="980">
                  <c:v>33.146900000001757</c:v>
                </c:pt>
                <c:pt idx="981">
                  <c:v>33.147000000001761</c:v>
                </c:pt>
                <c:pt idx="982">
                  <c:v>33.147100000001764</c:v>
                </c:pt>
                <c:pt idx="983">
                  <c:v>33.147200000001767</c:v>
                </c:pt>
                <c:pt idx="984">
                  <c:v>33.147300000001771</c:v>
                </c:pt>
                <c:pt idx="985">
                  <c:v>33.147400000001774</c:v>
                </c:pt>
                <c:pt idx="986">
                  <c:v>33.147500000001777</c:v>
                </c:pt>
                <c:pt idx="987">
                  <c:v>33.147600000001781</c:v>
                </c:pt>
                <c:pt idx="988">
                  <c:v>33.147700000001784</c:v>
                </c:pt>
                <c:pt idx="989">
                  <c:v>33.147800000001787</c:v>
                </c:pt>
                <c:pt idx="990">
                  <c:v>33.14790000000179</c:v>
                </c:pt>
                <c:pt idx="991">
                  <c:v>33.148000000001794</c:v>
                </c:pt>
                <c:pt idx="992">
                  <c:v>33.148100000001797</c:v>
                </c:pt>
                <c:pt idx="993">
                  <c:v>33.1482000000018</c:v>
                </c:pt>
                <c:pt idx="994">
                  <c:v>33.148300000001804</c:v>
                </c:pt>
                <c:pt idx="995">
                  <c:v>33.148400000001807</c:v>
                </c:pt>
                <c:pt idx="996">
                  <c:v>33.14850000000181</c:v>
                </c:pt>
                <c:pt idx="997">
                  <c:v>33.148600000001814</c:v>
                </c:pt>
                <c:pt idx="998">
                  <c:v>33.148700000001817</c:v>
                </c:pt>
                <c:pt idx="999">
                  <c:v>33.14880000000182</c:v>
                </c:pt>
                <c:pt idx="1000">
                  <c:v>33.148900000001824</c:v>
                </c:pt>
              </c:numCache>
            </c:numRef>
          </c:xVal>
          <c:yVal>
            <c:numRef>
              <c:f>Calculs!$K$4:$K$1004</c:f>
              <c:numCache>
                <c:formatCode>0.00</c:formatCode>
                <c:ptCount val="1001"/>
                <c:pt idx="0">
                  <c:v>0</c:v>
                </c:pt>
                <c:pt idx="1">
                  <c:v>7.9588567858292995E-4</c:v>
                </c:pt>
                <c:pt idx="2">
                  <c:v>6.723482670051845E-3</c:v>
                </c:pt>
                <c:pt idx="3">
                  <c:v>2.3479711239899365E-2</c:v>
                </c:pt>
                <c:pt idx="4">
                  <c:v>5.2995906566015188E-2</c:v>
                </c:pt>
                <c:pt idx="5">
                  <c:v>9.4820262845367348E-2</c:v>
                </c:pt>
                <c:pt idx="6">
                  <c:v>0.14863784731109492</c:v>
                </c:pt>
                <c:pt idx="7">
                  <c:v>0.21440886054895564</c:v>
                </c:pt>
                <c:pt idx="8">
                  <c:v>0.29223128024106937</c:v>
                </c:pt>
                <c:pt idx="9">
                  <c:v>0.3822031479999124</c:v>
                </c:pt>
                <c:pt idx="10">
                  <c:v>0.48442256793887617</c:v>
                </c:pt>
                <c:pt idx="11">
                  <c:v>0.59897339643303338</c:v>
                </c:pt>
                <c:pt idx="12">
                  <c:v>0.72591089482237248</c:v>
                </c:pt>
                <c:pt idx="13">
                  <c:v>0.86527598194740496</c:v>
                </c:pt>
                <c:pt idx="14">
                  <c:v>1.0171095238995609</c:v>
                </c:pt>
                <c:pt idx="15">
                  <c:v>1.1814523328906639</c:v>
                </c:pt>
                <c:pt idx="16">
                  <c:v>1.3583451661181094</c:v>
                </c:pt>
                <c:pt idx="17">
                  <c:v>1.5478287246258078</c:v>
                </c:pt>
                <c:pt idx="18">
                  <c:v>1.7499436521609577</c:v>
                </c:pt>
                <c:pt idx="19">
                  <c:v>1.9647305340267165</c:v>
                </c:pt>
                <c:pt idx="20">
                  <c:v>2.1922298959308328</c:v>
                </c:pt>
                <c:pt idx="21">
                  <c:v>2.4324764613328229</c:v>
                </c:pt>
                <c:pt idx="22">
                  <c:v>2.6854933941468113</c:v>
                </c:pt>
                <c:pt idx="23">
                  <c:v>2.9512980178484214</c:v>
                </c:pt>
                <c:pt idx="24">
                  <c:v>3.2299075494554561</c:v>
                </c:pt>
                <c:pt idx="25">
                  <c:v>3.5213390988348241</c:v>
                </c:pt>
                <c:pt idx="26">
                  <c:v>3.8256096680122686</c:v>
                </c:pt>
                <c:pt idx="27">
                  <c:v>4.1427361504849607</c:v>
                </c:pt>
                <c:pt idx="28">
                  <c:v>4.4727205299112907</c:v>
                </c:pt>
                <c:pt idx="29">
                  <c:v>4.8155640809976488</c:v>
                </c:pt>
                <c:pt idx="30">
                  <c:v>5.1712821766383108</c:v>
                </c:pt>
                <c:pt idx="31">
                  <c:v>5.5398901022790819</c:v>
                </c:pt>
                <c:pt idx="32">
                  <c:v>5.9214030636097714</c:v>
                </c:pt>
                <c:pt idx="33">
                  <c:v>6.31583618389429</c:v>
                </c:pt>
                <c:pt idx="34">
                  <c:v>6.7232045014900033</c:v>
                </c:pt>
                <c:pt idx="35">
                  <c:v>7.1435229675339738</c:v>
                </c:pt>
                <c:pt idx="36">
                  <c:v>7.5768064437770102</c:v>
                </c:pt>
                <c:pt idx="37">
                  <c:v>8.0230697005491916</c:v>
                </c:pt>
                <c:pt idx="38">
                  <c:v>8.4823274148428052</c:v>
                </c:pt>
                <c:pt idx="39">
                  <c:v>8.9545941685005399</c:v>
                </c:pt>
                <c:pt idx="40">
                  <c:v>9.4398844464983878</c:v>
                </c:pt>
                <c:pt idx="41">
                  <c:v>9.938208170198962</c:v>
                </c:pt>
                <c:pt idx="42">
                  <c:v>10.449566220794946</c:v>
                </c:pt>
                <c:pt idx="43">
                  <c:v>10.973954889047857</c:v>
                </c:pt>
                <c:pt idx="44">
                  <c:v>11.511370335191106</c:v>
                </c:pt>
                <c:pt idx="45">
                  <c:v>12.061808587999941</c:v>
                </c:pt>
                <c:pt idx="46">
                  <c:v>12.625265543925277</c:v>
                </c:pt>
                <c:pt idx="47">
                  <c:v>13.20173696628637</c:v>
                </c:pt>
                <c:pt idx="48">
                  <c:v>13.79121848451787</c:v>
                </c:pt>
                <c:pt idx="49">
                  <c:v>14.393705593467239</c:v>
                </c:pt>
                <c:pt idx="50">
                  <c:v>15.009193652738984</c:v>
                </c:pt>
                <c:pt idx="51">
                  <c:v>15.637677886082503</c:v>
                </c:pt>
                <c:pt idx="52">
                  <c:v>16.279153380820645</c:v>
                </c:pt>
                <c:pt idx="53">
                  <c:v>16.933615087316426</c:v>
                </c:pt>
                <c:pt idx="54">
                  <c:v>17.601057818475532</c:v>
                </c:pt>
                <c:pt idx="55">
                  <c:v>18.28147624928253</c:v>
                </c:pt>
                <c:pt idx="56">
                  <c:v>18.97486491636883</c:v>
                </c:pt>
                <c:pt idx="57">
                  <c:v>19.681218217610695</c:v>
                </c:pt>
                <c:pt idx="58">
                  <c:v>20.400530411755685</c:v>
                </c:pt>
                <c:pt idx="59">
                  <c:v>21.132795618076113</c:v>
                </c:pt>
                <c:pt idx="60">
                  <c:v>21.878007816048164</c:v>
                </c:pt>
                <c:pt idx="61">
                  <c:v>22.636160845055535</c:v>
                </c:pt>
                <c:pt idx="62">
                  <c:v>23.407248404116402</c:v>
                </c:pt>
                <c:pt idx="63">
                  <c:v>24.191264051632764</c:v>
                </c:pt>
                <c:pt idx="64">
                  <c:v>24.988201205161229</c:v>
                </c:pt>
                <c:pt idx="65">
                  <c:v>25.798053141204328</c:v>
                </c:pt>
                <c:pt idx="66">
                  <c:v>26.620812995021634</c:v>
                </c:pt>
                <c:pt idx="67">
                  <c:v>27.456473760459918</c:v>
                </c:pt>
                <c:pt idx="68">
                  <c:v>28.305028289801662</c:v>
                </c:pt>
                <c:pt idx="69">
                  <c:v>29.166469293631312</c:v>
                </c:pt>
                <c:pt idx="70">
                  <c:v>30.040789340718703</c:v>
                </c:pt>
                <c:pt idx="71">
                  <c:v>30.927980857919081</c:v>
                </c:pt>
                <c:pt idx="72">
                  <c:v>31.828036130089266</c:v>
                </c:pt>
                <c:pt idx="73">
                  <c:v>32.740947300019428</c:v>
                </c:pt>
                <c:pt idx="74">
                  <c:v>33.666706368380119</c:v>
                </c:pt>
                <c:pt idx="75">
                  <c:v>34.605305193684053</c:v>
                </c:pt>
                <c:pt idx="76">
                  <c:v>35.556735492262376</c:v>
                </c:pt>
                <c:pt idx="77">
                  <c:v>36.520988838254929</c:v>
                </c:pt>
                <c:pt idx="78">
                  <c:v>37.498056663614292</c:v>
                </c:pt>
                <c:pt idx="79">
                  <c:v>38.487930258123235</c:v>
                </c:pt>
                <c:pt idx="80">
                  <c:v>39.490600769425271</c:v>
                </c:pt>
                <c:pt idx="81">
                  <c:v>40.506054671291871</c:v>
                </c:pt>
                <c:pt idx="82">
                  <c:v>41.534269223564927</c:v>
                </c:pt>
                <c:pt idx="83">
                  <c:v>42.575216993653761</c:v>
                </c:pt>
                <c:pt idx="84">
                  <c:v>43.628870386697834</c:v>
                </c:pt>
                <c:pt idx="85">
                  <c:v>44.69520164629246</c:v>
                </c:pt>
                <c:pt idx="86">
                  <c:v>45.774182855228148</c:v>
                </c:pt>
                <c:pt idx="87">
                  <c:v>46.865785936243235</c:v>
                </c:pt>
                <c:pt idx="88">
                  <c:v>47.969982652789454</c:v>
                </c:pt>
                <c:pt idx="89">
                  <c:v>49.086744609810168</c:v>
                </c:pt>
                <c:pt idx="90">
                  <c:v>50.216043254530938</c:v>
                </c:pt>
                <c:pt idx="91">
                  <c:v>51.357847874866614</c:v>
                </c:pt>
                <c:pt idx="92">
                  <c:v>52.512123594452866</c:v>
                </c:pt>
                <c:pt idx="93">
                  <c:v>53.678833371876017</c:v>
                </c:pt>
                <c:pt idx="94">
                  <c:v>54.857940003457699</c:v>
                </c:pt>
                <c:pt idx="95">
                  <c:v>56.049406124415476</c:v>
                </c:pt>
                <c:pt idx="96">
                  <c:v>57.253194210034358</c:v>
                </c:pt>
                <c:pt idx="97">
                  <c:v>58.46926657684886</c:v>
                </c:pt>
                <c:pt idx="98">
                  <c:v>59.697585383835332</c:v>
                </c:pt>
                <c:pt idx="99">
                  <c:v>60.938112633614253</c:v>
                </c:pt>
                <c:pt idx="100">
                  <c:v>62.190810173662278</c:v>
                </c:pt>
                <c:pt idx="101">
                  <c:v>63.455639377226447</c:v>
                </c:pt>
                <c:pt idx="102">
                  <c:v>64.732560823757723</c:v>
                </c:pt>
                <c:pt idx="103">
                  <c:v>66.02153461991719</c:v>
                </c:pt>
                <c:pt idx="104">
                  <c:v>67.322520721106642</c:v>
                </c:pt>
                <c:pt idx="105">
                  <c:v>68.635478932776749</c:v>
                </c:pt>
                <c:pt idx="106">
                  <c:v>69.960368911743316</c:v>
                </c:pt>
                <c:pt idx="107">
                  <c:v>71.297150167511461</c:v>
                </c:pt>
                <c:pt idx="108">
                  <c:v>72.6457820636073</c:v>
                </c:pt>
                <c:pt idx="109">
                  <c:v>74.006223818917107</c:v>
                </c:pt>
                <c:pt idx="110">
                  <c:v>75.378434509033582</c:v>
                </c:pt>
                <c:pt idx="111">
                  <c:v>76.762376755823098</c:v>
                </c:pt>
                <c:pt idx="112">
                  <c:v>78.158020422049944</c:v>
                </c:pt>
                <c:pt idx="113">
                  <c:v>79.56533892965804</c:v>
                </c:pt>
                <c:pt idx="114">
                  <c:v>80.984305572728815</c:v>
                </c:pt>
                <c:pt idx="115">
                  <c:v>82.414893518300389</c:v>
                </c:pt>
                <c:pt idx="116">
                  <c:v>83.85707580719334</c:v>
                </c:pt>
                <c:pt idx="117">
                  <c:v>85.310825354843004</c:v>
                </c:pt>
                <c:pt idx="118">
                  <c:v>86.776114952138201</c:v>
                </c:pt>
                <c:pt idx="119">
                  <c:v>88.252917266266223</c:v>
                </c:pt>
                <c:pt idx="120">
                  <c:v>89.741204841563871</c:v>
                </c:pt>
                <c:pt idx="121">
                  <c:v>91.24094398246018</c:v>
                </c:pt>
                <c:pt idx="122">
                  <c:v>92.752088628881836</c:v>
                </c:pt>
                <c:pt idx="123">
                  <c:v>94.274586468149366</c:v>
                </c:pt>
                <c:pt idx="124">
                  <c:v>95.808385054901692</c:v>
                </c:pt>
                <c:pt idx="125">
                  <c:v>97.353431812934318</c:v>
                </c:pt>
                <c:pt idx="126">
                  <c:v>98.90967403704019</c:v>
                </c:pt>
                <c:pt idx="127">
                  <c:v>100.47705889485302</c:v>
                </c:pt>
                <c:pt idx="128">
                  <c:v>102.05553342869275</c:v>
                </c:pt>
                <c:pt idx="129">
                  <c:v>103.6450445574131</c:v>
                </c:pt>
                <c:pt idx="130">
                  <c:v>105.2455390782506</c:v>
                </c:pt>
                <c:pt idx="131">
                  <c:v>106.85696206683457</c:v>
                </c:pt>
                <c:pt idx="132">
                  <c:v>108.47925527552694</c:v>
                </c:pt>
                <c:pt idx="133">
                  <c:v>110.11235873586841</c:v>
                </c:pt>
                <c:pt idx="134">
                  <c:v>111.75621236283401</c:v>
                </c:pt>
                <c:pt idx="135">
                  <c:v>113.41075595696113</c:v>
                </c:pt>
                <c:pt idx="136">
                  <c:v>115.07592920647645</c:v>
                </c:pt>
                <c:pt idx="137">
                  <c:v>116.7516716894214</c:v>
                </c:pt>
                <c:pt idx="138">
                  <c:v>118.43792287577593</c:v>
                </c:pt>
                <c:pt idx="139">
                  <c:v>120.13462212958029</c:v>
                </c:pt>
                <c:pt idx="140">
                  <c:v>121.84170871105466</c:v>
                </c:pt>
                <c:pt idx="141">
                  <c:v>123.55910262424158</c:v>
                </c:pt>
                <c:pt idx="142">
                  <c:v>125.2866854487269</c:v>
                </c:pt>
                <c:pt idx="143">
                  <c:v>127.02431948877086</c:v>
                </c:pt>
                <c:pt idx="144">
                  <c:v>128.77186694042001</c:v>
                </c:pt>
                <c:pt idx="145">
                  <c:v>130.52918989772519</c:v>
                </c:pt>
                <c:pt idx="146">
                  <c:v>132.29615035892041</c:v>
                </c:pt>
                <c:pt idx="147">
                  <c:v>134.07261023256203</c:v>
                </c:pt>
                <c:pt idx="148">
                  <c:v>135.85843134362693</c:v>
                </c:pt>
                <c:pt idx="149">
                  <c:v>137.65347543956926</c:v>
                </c:pt>
                <c:pt idx="150">
                  <c:v>139.45760419633461</c:v>
                </c:pt>
                <c:pt idx="151">
                  <c:v>141.27067922433088</c:v>
                </c:pt>
                <c:pt idx="152">
                  <c:v>143.09256207435516</c:v>
                </c:pt>
                <c:pt idx="153">
                  <c:v>144.92311424347562</c:v>
                </c:pt>
                <c:pt idx="154">
                  <c:v>146.7621971808679</c:v>
                </c:pt>
                <c:pt idx="155">
                  <c:v>148.609672293605</c:v>
                </c:pt>
                <c:pt idx="156">
                  <c:v>150.46531023282532</c:v>
                </c:pt>
                <c:pt idx="157">
                  <c:v>152.32870015962811</c:v>
                </c:pt>
                <c:pt idx="158">
                  <c:v>154.19934053211031</c:v>
                </c:pt>
                <c:pt idx="159">
                  <c:v>156.07672993311658</c:v>
                </c:pt>
                <c:pt idx="160">
                  <c:v>157.96036711654375</c:v>
                </c:pt>
                <c:pt idx="161">
                  <c:v>159.84963571845012</c:v>
                </c:pt>
                <c:pt idx="162">
                  <c:v>161.7436890236242</c:v>
                </c:pt>
                <c:pt idx="163">
                  <c:v>163.64157656115606</c:v>
                </c:pt>
                <c:pt idx="164">
                  <c:v>165.54237068465417</c:v>
                </c:pt>
                <c:pt idx="165">
                  <c:v>167.44526586288265</c:v>
                </c:pt>
                <c:pt idx="166">
                  <c:v>169.34967783643003</c:v>
                </c:pt>
                <c:pt idx="167">
                  <c:v>171.25504948739027</c:v>
                </c:pt>
                <c:pt idx="168">
                  <c:v>173.16071751107907</c:v>
                </c:pt>
                <c:pt idx="169">
                  <c:v>175.06582340779886</c:v>
                </c:pt>
                <c:pt idx="170">
                  <c:v>176.96928528637369</c:v>
                </c:pt>
                <c:pt idx="171">
                  <c:v>178.87034592471116</c:v>
                </c:pt>
                <c:pt idx="172">
                  <c:v>180.76881683826667</c:v>
                </c:pt>
                <c:pt idx="173">
                  <c:v>182.66470267874479</c:v>
                </c:pt>
                <c:pt idx="174">
                  <c:v>184.55800808201212</c:v>
                </c:pt>
                <c:pt idx="175">
                  <c:v>186.44873766816829</c:v>
                </c:pt>
                <c:pt idx="176">
                  <c:v>188.33689604161651</c:v>
                </c:pt>
                <c:pt idx="177">
                  <c:v>190.22248779113377</c:v>
                </c:pt>
                <c:pt idx="178">
                  <c:v>192.10551748994061</c:v>
                </c:pt>
                <c:pt idx="179">
                  <c:v>193.98598969577048</c:v>
                </c:pt>
                <c:pt idx="180">
                  <c:v>195.86390895093882</c:v>
                </c:pt>
                <c:pt idx="181">
                  <c:v>197.73927978241153</c:v>
                </c:pt>
                <c:pt idx="182">
                  <c:v>199.61210670187336</c:v>
                </c:pt>
                <c:pt idx="183">
                  <c:v>201.4823942057956</c:v>
                </c:pt>
                <c:pt idx="184">
                  <c:v>203.35014677550359</c:v>
                </c:pt>
                <c:pt idx="185">
                  <c:v>205.2153688772438</c:v>
                </c:pt>
                <c:pt idx="186">
                  <c:v>207.07806496225055</c:v>
                </c:pt>
                <c:pt idx="187">
                  <c:v>208.93823946681229</c:v>
                </c:pt>
                <c:pt idx="188">
                  <c:v>210.79589681233759</c:v>
                </c:pt>
                <c:pt idx="189">
                  <c:v>212.65104140542067</c:v>
                </c:pt>
                <c:pt idx="190">
                  <c:v>214.50367763790672</c:v>
                </c:pt>
                <c:pt idx="191">
                  <c:v>216.35380988695664</c:v>
                </c:pt>
                <c:pt idx="192">
                  <c:v>218.20144251511167</c:v>
                </c:pt>
                <c:pt idx="193">
                  <c:v>220.04657987035739</c:v>
                </c:pt>
                <c:pt idx="194">
                  <c:v>221.88922628618761</c:v>
                </c:pt>
                <c:pt idx="195">
                  <c:v>223.72938608166768</c:v>
                </c:pt>
                <c:pt idx="196">
                  <c:v>225.56706356149772</c:v>
                </c:pt>
                <c:pt idx="197">
                  <c:v>227.40226301607521</c:v>
                </c:pt>
                <c:pt idx="198">
                  <c:v>229.23498872155744</c:v>
                </c:pt>
                <c:pt idx="199">
                  <c:v>231.06524493992353</c:v>
                </c:pt>
                <c:pt idx="200">
                  <c:v>232.89303591903609</c:v>
                </c:pt>
                <c:pt idx="201">
                  <c:v>251.03568551352203</c:v>
                </c:pt>
                <c:pt idx="202">
                  <c:v>268.93453630754851</c:v>
                </c:pt>
                <c:pt idx="203">
                  <c:v>286.59370106166131</c:v>
                </c:pt>
                <c:pt idx="204">
                  <c:v>304.01715932046432</c:v>
                </c:pt>
                <c:pt idx="205">
                  <c:v>321.20876302032707</c:v>
                </c:pt>
                <c:pt idx="206">
                  <c:v>338.1722418002347</c:v>
                </c:pt>
                <c:pt idx="207">
                  <c:v>354.91120803451514</c:v>
                </c:pt>
                <c:pt idx="208">
                  <c:v>371.42916160480758</c:v>
                </c:pt>
                <c:pt idx="209">
                  <c:v>387.72949442737774</c:v>
                </c:pt>
                <c:pt idx="210">
                  <c:v>403.81549475073143</c:v>
                </c:pt>
                <c:pt idx="211">
                  <c:v>419.69035123741787</c:v>
                </c:pt>
                <c:pt idx="212">
                  <c:v>435.35715684293831</c:v>
                </c:pt>
                <c:pt idx="213">
                  <c:v>450.81891250377925</c:v>
                </c:pt>
                <c:pt idx="214">
                  <c:v>466.07853064576176</c:v>
                </c:pt>
                <c:pt idx="215">
                  <c:v>481.13883852313722</c:v>
                </c:pt>
                <c:pt idx="216">
                  <c:v>496.00258139815611</c:v>
                </c:pt>
                <c:pt idx="217">
                  <c:v>510.67242557018722</c:v>
                </c:pt>
                <c:pt idx="218">
                  <c:v>525.15096126286517</c:v>
                </c:pt>
                <c:pt idx="219">
                  <c:v>539.44070537718778</c:v>
                </c:pt>
                <c:pt idx="220">
                  <c:v>553.54410411797232</c:v>
                </c:pt>
                <c:pt idx="221">
                  <c:v>567.46353550060269</c:v>
                </c:pt>
                <c:pt idx="222">
                  <c:v>581.20131174455946</c:v>
                </c:pt>
                <c:pt idx="223">
                  <c:v>594.75968155981388</c:v>
                </c:pt>
                <c:pt idx="224">
                  <c:v>608.14083233178872</c:v>
                </c:pt>
                <c:pt idx="225">
                  <c:v>621.34689221023393</c:v>
                </c:pt>
                <c:pt idx="226">
                  <c:v>634.3799321070386</c:v>
                </c:pt>
                <c:pt idx="227">
                  <c:v>647.24196760769382</c:v>
                </c:pt>
                <c:pt idx="228">
                  <c:v>659.9349608008381</c:v>
                </c:pt>
                <c:pt idx="229">
                  <c:v>672.46082203005176</c:v>
                </c:pt>
                <c:pt idx="230">
                  <c:v>684.821411571819</c:v>
                </c:pt>
                <c:pt idx="231">
                  <c:v>697.01854124334807</c:v>
                </c:pt>
                <c:pt idx="232">
                  <c:v>709.05397594372312</c:v>
                </c:pt>
                <c:pt idx="233">
                  <c:v>720.92943513166256</c:v>
                </c:pt>
                <c:pt idx="234">
                  <c:v>732.64659424296929</c:v>
                </c:pt>
                <c:pt idx="235">
                  <c:v>744.20708605058508</c:v>
                </c:pt>
                <c:pt idx="236">
                  <c:v>755.61250196999583</c:v>
                </c:pt>
                <c:pt idx="237">
                  <c:v>766.86439331258123</c:v>
                </c:pt>
                <c:pt idx="238">
                  <c:v>777.9642724893597</c:v>
                </c:pt>
                <c:pt idx="239">
                  <c:v>788.91361416744326</c:v>
                </c:pt>
                <c:pt idx="240">
                  <c:v>799.71385638139236</c:v>
                </c:pt>
                <c:pt idx="241">
                  <c:v>810.36640160154025</c:v>
                </c:pt>
                <c:pt idx="242">
                  <c:v>820.87261776124831</c:v>
                </c:pt>
                <c:pt idx="243">
                  <c:v>831.23383924494556</c:v>
                </c:pt>
                <c:pt idx="244">
                  <c:v>841.45136783871135</c:v>
                </c:pt>
                <c:pt idx="245">
                  <c:v>851.52647364506561</c:v>
                </c:pt>
                <c:pt idx="246">
                  <c:v>861.46039596354501</c:v>
                </c:pt>
                <c:pt idx="247">
                  <c:v>871.2543441385626</c:v>
                </c:pt>
                <c:pt idx="248">
                  <c:v>880.90949837597054</c:v>
                </c:pt>
                <c:pt idx="249">
                  <c:v>890.42701052967459</c:v>
                </c:pt>
                <c:pt idx="250">
                  <c:v>899.80800485958002</c:v>
                </c:pt>
                <c:pt idx="251">
                  <c:v>909.05357876208473</c:v>
                </c:pt>
                <c:pt idx="252">
                  <c:v>918.16480347427557</c:v>
                </c:pt>
                <c:pt idx="253">
                  <c:v>927.14272475292569</c:v>
                </c:pt>
                <c:pt idx="254">
                  <c:v>935.98836352933756</c:v>
                </c:pt>
                <c:pt idx="255">
                  <c:v>944.70271654102601</c:v>
                </c:pt>
                <c:pt idx="256">
                  <c:v>953.28675694118658</c:v>
                </c:pt>
                <c:pt idx="257">
                  <c:v>961.74143488685024</c:v>
                </c:pt>
                <c:pt idx="258">
                  <c:v>970.06767810658221</c:v>
                </c:pt>
                <c:pt idx="259">
                  <c:v>978.26639244854175</c:v>
                </c:pt>
                <c:pt idx="260">
                  <c:v>986.33846240968307</c:v>
                </c:pt>
                <c:pt idx="261">
                  <c:v>994.28475164683925</c:v>
                </c:pt>
                <c:pt idx="262">
                  <c:v>1002.1061034703989</c:v>
                </c:pt>
                <c:pt idx="263">
                  <c:v>1009.8033413212518</c:v>
                </c:pt>
                <c:pt idx="264">
                  <c:v>1017.3772692316491</c:v>
                </c:pt>
                <c:pt idx="265">
                  <c:v>1024.8286722705955</c:v>
                </c:pt>
                <c:pt idx="266">
                  <c:v>1032.1583169743626</c:v>
                </c:pt>
                <c:pt idx="267">
                  <c:v>1039.3669517626879</c:v>
                </c:pt>
                <c:pt idx="268">
                  <c:v>1046.4553073411971</c:v>
                </c:pt>
                <c:pt idx="269">
                  <c:v>1053.4240970905671</c:v>
                </c:pt>
                <c:pt idx="270">
                  <c:v>1060.2740174429241</c:v>
                </c:pt>
                <c:pt idx="271">
                  <c:v>1067.0057482459481</c:v>
                </c:pt>
                <c:pt idx="272">
                  <c:v>1073.6199531151399</c:v>
                </c:pt>
                <c:pt idx="273">
                  <c:v>1080.1172797746847</c:v>
                </c:pt>
                <c:pt idx="274">
                  <c:v>1086.4983603873304</c:v>
                </c:pt>
                <c:pt idx="275">
                  <c:v>1092.7638118736825</c:v>
                </c:pt>
                <c:pt idx="276">
                  <c:v>1098.9142362213017</c:v>
                </c:pt>
                <c:pt idx="277">
                  <c:v>1104.9502207839757</c:v>
                </c:pt>
                <c:pt idx="278">
                  <c:v>1110.872338571523</c:v>
                </c:pt>
                <c:pt idx="279">
                  <c:v>1116.6811485304743</c:v>
                </c:pt>
                <c:pt idx="280">
                  <c:v>1122.3771958159673</c:v>
                </c:pt>
                <c:pt idx="281">
                  <c:v>1127.9610120551733</c:v>
                </c:pt>
                <c:pt idx="282">
                  <c:v>1133.433115602573</c:v>
                </c:pt>
                <c:pt idx="283">
                  <c:v>1138.7940117873825</c:v>
                </c:pt>
                <c:pt idx="284">
                  <c:v>1144.0441931534258</c:v>
                </c:pt>
                <c:pt idx="285">
                  <c:v>1149.1841396917414</c:v>
                </c:pt>
                <c:pt idx="286">
                  <c:v>1154.2143190662048</c:v>
                </c:pt>
                <c:pt idx="287">
                  <c:v>1159.135186832443</c:v>
                </c:pt>
                <c:pt idx="288">
                  <c:v>1163.9471866503125</c:v>
                </c:pt>
                <c:pt idx="289">
                  <c:v>1168.6507504902074</c:v>
                </c:pt>
                <c:pt idx="290">
                  <c:v>1173.2462988334648</c:v>
                </c:pt>
                <c:pt idx="291">
                  <c:v>1177.7342408671295</c:v>
                </c:pt>
                <c:pt idx="292">
                  <c:v>1182.1149746733431</c:v>
                </c:pt>
                <c:pt idx="293">
                  <c:v>1186.3888874136219</c:v>
                </c:pt>
                <c:pt idx="294">
                  <c:v>1190.5563555082904</c:v>
                </c:pt>
                <c:pt idx="295">
                  <c:v>1194.6177448113428</c:v>
                </c:pt>
                <c:pt idx="296">
                  <c:v>1198.5734107810081</c:v>
                </c:pt>
                <c:pt idx="297">
                  <c:v>1202.4236986463043</c:v>
                </c:pt>
                <c:pt idx="298">
                  <c:v>1206.1689435698759</c:v>
                </c:pt>
                <c:pt idx="299">
                  <c:v>1209.8094708074188</c:v>
                </c:pt>
                <c:pt idx="300">
                  <c:v>1213.3455958640129</c:v>
                </c:pt>
                <c:pt idx="301">
                  <c:v>1216.7776246476992</c:v>
                </c:pt>
                <c:pt idx="302">
                  <c:v>1220.1058536206554</c:v>
                </c:pt>
                <c:pt idx="303">
                  <c:v>1223.330569948349</c:v>
                </c:pt>
                <c:pt idx="304">
                  <c:v>1226.4520516470727</c:v>
                </c:pt>
                <c:pt idx="305">
                  <c:v>1229.4705677302945</c:v>
                </c:pt>
                <c:pt idx="306">
                  <c:v>1232.3863783542913</c:v>
                </c:pt>
                <c:pt idx="307">
                  <c:v>1235.1997349635717</c:v>
                </c:pt>
                <c:pt idx="308">
                  <c:v>1237.9108804366369</c:v>
                </c:pt>
                <c:pt idx="309">
                  <c:v>1240.5200492326746</c:v>
                </c:pt>
                <c:pt idx="310">
                  <c:v>1243.0274675398355</c:v>
                </c:pt>
                <c:pt idx="311">
                  <c:v>1245.4333534257978</c:v>
                </c:pt>
                <c:pt idx="312">
                  <c:v>1247.7379169913879</c:v>
                </c:pt>
                <c:pt idx="313">
                  <c:v>1249.9413605280918</c:v>
                </c:pt>
                <c:pt idx="314">
                  <c:v>1252.0438786803609</c:v>
                </c:pt>
                <c:pt idx="315">
                  <c:v>1254.0456586136913</c:v>
                </c:pt>
                <c:pt idx="316">
                  <c:v>1255.9468801895273</c:v>
                </c:pt>
                <c:pt idx="317">
                  <c:v>1257.7477161481102</c:v>
                </c:pt>
                <c:pt idx="318">
                  <c:v>1259.448332300469</c:v>
                </c:pt>
                <c:pt idx="319">
                  <c:v>1261.0488877308003</c:v>
                </c:pt>
                <c:pt idx="320">
                  <c:v>1262.549535010538</c:v>
                </c:pt>
                <c:pt idx="321">
                  <c:v>1263.9504204254413</c:v>
                </c:pt>
                <c:pt idx="322">
                  <c:v>1265.2516842170298</c:v>
                </c:pt>
                <c:pt idx="323">
                  <c:v>1266.4534608396687</c:v>
                </c:pt>
                <c:pt idx="324">
                  <c:v>1267.5558792345321</c:v>
                </c:pt>
                <c:pt idx="325">
                  <c:v>1268.5590631215575</c:v>
                </c:pt>
                <c:pt idx="326">
                  <c:v>1269.4631313103207</c:v>
                </c:pt>
                <c:pt idx="327">
                  <c:v>1270.2681980305276</c:v>
                </c:pt>
                <c:pt idx="328">
                  <c:v>1270.9743732825063</c:v>
                </c:pt>
                <c:pt idx="329">
                  <c:v>1271.581763207711</c:v>
                </c:pt>
                <c:pt idx="330">
                  <c:v>1272.0904704788122</c:v>
                </c:pt>
                <c:pt idx="331">
                  <c:v>1272.5005947084585</c:v>
                </c:pt>
                <c:pt idx="332">
                  <c:v>1272.8122328752654</c:v>
                </c:pt>
                <c:pt idx="333">
                  <c:v>1273.0254797650553</c:v>
                </c:pt>
                <c:pt idx="334">
                  <c:v>1273.1404284248381</c:v>
                </c:pt>
                <c:pt idx="335">
                  <c:v>1273.1571706265424</c:v>
                </c:pt>
                <c:pt idx="336">
                  <c:v>1273.0757973370996</c:v>
                </c:pt>
                <c:pt idx="337">
                  <c:v>1272.8963991911698</c:v>
                </c:pt>
                <c:pt idx="338">
                  <c:v>1272.6190669626224</c:v>
                </c:pt>
                <c:pt idx="339">
                  <c:v>1272.2438920308314</c:v>
                </c:pt>
                <c:pt idx="340">
                  <c:v>1271.7709668379459</c:v>
                </c:pt>
                <c:pt idx="341">
                  <c:v>1271.2003853335232</c:v>
                </c:pt>
                <c:pt idx="342">
                  <c:v>1270.5322434032605</c:v>
                </c:pt>
                <c:pt idx="343">
                  <c:v>1269.7666392790013</c:v>
                </c:pt>
                <c:pt idx="344">
                  <c:v>1268.903673927698</c:v>
                </c:pt>
                <c:pt idx="345">
                  <c:v>1267.9434514175471</c:v>
                </c:pt>
                <c:pt idx="346">
                  <c:v>1266.886079260056</c:v>
                </c:pt>
                <c:pt idx="347">
                  <c:v>1265.7316687273185</c:v>
                </c:pt>
                <c:pt idx="348">
                  <c:v>1264.4803351442451</c:v>
                </c:pt>
                <c:pt idx="349">
                  <c:v>1263.1321981559211</c:v>
                </c:pt>
                <c:pt idx="350">
                  <c:v>1261.6873819706043</c:v>
                </c:pt>
                <c:pt idx="351">
                  <c:v>1260.1460155791683</c:v>
                </c:pt>
                <c:pt idx="352">
                  <c:v>1258.5082329520012</c:v>
                </c:pt>
                <c:pt idx="353">
                  <c:v>1256.7741732145325</c:v>
                </c:pt>
                <c:pt idx="354">
                  <c:v>1254.9439808026507</c:v>
                </c:pt>
                <c:pt idx="355">
                  <c:v>1253.0178055993294</c:v>
                </c:pt>
                <c:pt idx="356">
                  <c:v>1250.9958030537898</c:v>
                </c:pt>
                <c:pt idx="357">
                  <c:v>1248.8781342845086</c:v>
                </c:pt>
                <c:pt idx="358">
                  <c:v>1246.6649661673403</c:v>
                </c:pt>
                <c:pt idx="359">
                  <c:v>1244.3564714099632</c:v>
                </c:pt>
                <c:pt idx="360">
                  <c:v>1241.9528286137918</c:v>
                </c:pt>
                <c:pt idx="361">
                  <c:v>1239.4542223244173</c:v>
                </c:pt>
                <c:pt idx="362">
                  <c:v>1236.860843071569</c:v>
                </c:pt>
                <c:pt idx="363">
                  <c:v>1234.1728873994991</c:v>
                </c:pt>
                <c:pt idx="364">
                  <c:v>1231.3905578886274</c:v>
                </c:pt>
                <c:pt idx="365">
                  <c:v>1228.5140631692004</c:v>
                </c:pt>
                <c:pt idx="366">
                  <c:v>1225.5436179276544</c:v>
                </c:pt>
                <c:pt idx="367">
                  <c:v>1222.479442906307</c:v>
                </c:pt>
                <c:pt idx="368">
                  <c:v>1219.3217648969378</c:v>
                </c:pt>
                <c:pt idx="369">
                  <c:v>1216.0708167287701</c:v>
                </c:pt>
                <c:pt idx="370">
                  <c:v>1212.7268372513095</c:v>
                </c:pt>
                <c:pt idx="371">
                  <c:v>1209.2900713124538</c:v>
                </c:pt>
                <c:pt idx="372">
                  <c:v>1205.7607697322471</c:v>
                </c:pt>
                <c:pt idx="373">
                  <c:v>1202.1391892726119</c:v>
                </c:pt>
                <c:pt idx="374">
                  <c:v>1198.4255926033647</c:v>
                </c:pt>
                <c:pt idx="375">
                  <c:v>1194.6202482647864</c:v>
                </c:pt>
                <c:pt idx="376">
                  <c:v>1190.7234306269947</c:v>
                </c:pt>
                <c:pt idx="377">
                  <c:v>1186.7354198463445</c:v>
                </c:pt>
                <c:pt idx="378">
                  <c:v>1182.6565018190565</c:v>
                </c:pt>
                <c:pt idx="379">
                  <c:v>1178.4869681322621</c:v>
                </c:pt>
                <c:pt idx="380">
                  <c:v>1174.2271160126279</c:v>
                </c:pt>
                <c:pt idx="381">
                  <c:v>1169.8772482727202</c:v>
                </c:pt>
                <c:pt idx="382">
                  <c:v>1165.437673255243</c:v>
                </c:pt>
                <c:pt idx="383">
                  <c:v>1160.9087047752851</c:v>
                </c:pt>
                <c:pt idx="384">
                  <c:v>1156.2906620606911</c:v>
                </c:pt>
                <c:pt idx="385">
                  <c:v>1151.5838696906696</c:v>
                </c:pt>
                <c:pt idx="386">
                  <c:v>1146.7886575327373</c:v>
                </c:pt>
                <c:pt idx="387">
                  <c:v>1141.9053606780967</c:v>
                </c:pt>
                <c:pt idx="388">
                  <c:v>1136.9343193755356</c:v>
                </c:pt>
                <c:pt idx="389">
                  <c:v>1131.8758789639296</c:v>
                </c:pt>
                <c:pt idx="390">
                  <c:v>1126.7303898034277</c:v>
                </c:pt>
                <c:pt idx="391">
                  <c:v>1121.4982072053917</c:v>
                </c:pt>
                <c:pt idx="392">
                  <c:v>1116.1796913611624</c:v>
                </c:pt>
                <c:pt idx="393">
                  <c:v>1110.7752072697147</c:v>
                </c:pt>
                <c:pt idx="394">
                  <c:v>1105.2851246642663</c:v>
                </c:pt>
                <c:pt idx="395">
                  <c:v>1099.7098179378997</c:v>
                </c:pt>
                <c:pt idx="396">
                  <c:v>1094.0496660682527</c:v>
                </c:pt>
                <c:pt idx="397">
                  <c:v>1088.3050525413341</c:v>
                </c:pt>
                <c:pt idx="398">
                  <c:v>1082.4763652745169</c:v>
                </c:pt>
                <c:pt idx="399">
                  <c:v>1076.5639965387579</c:v>
                </c:pt>
                <c:pt idx="400">
                  <c:v>1070.5683428800955</c:v>
                </c:pt>
                <c:pt idx="401">
                  <c:v>1064.4898050404704</c:v>
                </c:pt>
                <c:pt idx="402">
                  <c:v>1058.3287878779158</c:v>
                </c:pt>
                <c:pt idx="403">
                  <c:v>1052.085700286164</c:v>
                </c:pt>
                <c:pt idx="404">
                  <c:v>1045.760955113708</c:v>
                </c:pt>
                <c:pt idx="405">
                  <c:v>1039.3549690823656</c:v>
                </c:pt>
                <c:pt idx="406">
                  <c:v>1032.8681627053838</c:v>
                </c:pt>
                <c:pt idx="407">
                  <c:v>1026.3009602051234</c:v>
                </c:pt>
                <c:pt idx="408">
                  <c:v>1019.6537894303656</c:v>
                </c:pt>
                <c:pt idx="409">
                  <c:v>1012.9270817732776</c:v>
                </c:pt>
                <c:pt idx="410">
                  <c:v>1006.1212720860739</c:v>
                </c:pt>
                <c:pt idx="411">
                  <c:v>999.23679859741219</c:v>
                </c:pt>
                <c:pt idx="412">
                  <c:v>992.27410282855794</c:v>
                </c:pt>
                <c:pt idx="413">
                  <c:v>985.23362950935439</c:v>
                </c:pt>
                <c:pt idx="414">
                  <c:v>978.11582649403226</c:v>
                </c:pt>
                <c:pt idx="415">
                  <c:v>970.92114467689339</c:v>
                </c:pt>
                <c:pt idx="416">
                  <c:v>963.65003790790161</c:v>
                </c:pt>
                <c:pt idx="417">
                  <c:v>956.30296290821366</c:v>
                </c:pt>
                <c:pt idx="418">
                  <c:v>948.88037918568239</c:v>
                </c:pt>
                <c:pt idx="419">
                  <c:v>941.38274895036454</c:v>
                </c:pt>
                <c:pt idx="420">
                  <c:v>933.8105370300633</c:v>
                </c:pt>
                <c:pt idx="421">
                  <c:v>926.16421078593646</c:v>
                </c:pt>
                <c:pt idx="422">
                  <c:v>918.44424002820074</c:v>
                </c:pt>
                <c:pt idx="423">
                  <c:v>910.65109693196052</c:v>
                </c:pt>
                <c:pt idx="424">
                  <c:v>902.78525595319127</c:v>
                </c:pt>
                <c:pt idx="425">
                  <c:v>894.84719374490476</c:v>
                </c:pt>
                <c:pt idx="426">
                  <c:v>886.83738907352461</c:v>
                </c:pt>
                <c:pt idx="427">
                  <c:v>878.756322735499</c:v>
                </c:pt>
                <c:pt idx="428">
                  <c:v>870.60447747417766</c:v>
                </c:pt>
                <c:pt idx="429">
                  <c:v>862.38233789697881</c:v>
                </c:pt>
                <c:pt idx="430">
                  <c:v>854.09039039287234</c:v>
                </c:pt>
                <c:pt idx="431">
                  <c:v>845.72912305020327</c:v>
                </c:pt>
                <c:pt idx="432">
                  <c:v>837.29902557488151</c:v>
                </c:pt>
                <c:pt idx="433">
                  <c:v>828.80058920896067</c:v>
                </c:pt>
                <c:pt idx="434">
                  <c:v>820.23430664962996</c:v>
                </c:pt>
                <c:pt idx="435">
                  <c:v>811.60067196864213</c:v>
                </c:pt>
                <c:pt idx="436">
                  <c:v>802.90018053219978</c:v>
                </c:pt>
                <c:pt idx="437">
                  <c:v>794.13332892132189</c:v>
                </c:pt>
                <c:pt idx="438">
                  <c:v>785.30061485271153</c:v>
                </c:pt>
                <c:pt idx="439">
                  <c:v>776.40253710014679</c:v>
                </c:pt>
                <c:pt idx="440">
                  <c:v>767.43959541641311</c:v>
                </c:pt>
                <c:pt idx="441">
                  <c:v>758.41229045579882</c:v>
                </c:pt>
                <c:pt idx="442">
                  <c:v>749.32112369717174</c:v>
                </c:pt>
                <c:pt idx="443">
                  <c:v>740.16659736765553</c:v>
                </c:pt>
                <c:pt idx="444">
                  <c:v>730.94921436692437</c:v>
                </c:pt>
                <c:pt idx="445">
                  <c:v>721.66947819213317</c:v>
                </c:pt>
                <c:pt idx="446">
                  <c:v>712.32789286350044</c:v>
                </c:pt>
                <c:pt idx="447">
                  <c:v>702.92496285055984</c:v>
                </c:pt>
                <c:pt idx="448">
                  <c:v>693.46119299909662</c:v>
                </c:pt>
                <c:pt idx="449">
                  <c:v>683.93708845878473</c:v>
                </c:pt>
                <c:pt idx="450">
                  <c:v>674.35315461153823</c:v>
                </c:pt>
                <c:pt idx="451">
                  <c:v>664.70989700059249</c:v>
                </c:pt>
                <c:pt idx="452">
                  <c:v>655.007821260328</c:v>
                </c:pt>
                <c:pt idx="453">
                  <c:v>645.24743304685069</c:v>
                </c:pt>
                <c:pt idx="454">
                  <c:v>635.42923796934076</c:v>
                </c:pt>
                <c:pt idx="455">
                  <c:v>625.55374152218303</c:v>
                </c:pt>
                <c:pt idx="456">
                  <c:v>615.62144901788895</c:v>
                </c:pt>
                <c:pt idx="457">
                  <c:v>605.63286552082309</c:v>
                </c:pt>
                <c:pt idx="458">
                  <c:v>595.58849578174363</c:v>
                </c:pt>
                <c:pt idx="459">
                  <c:v>585.48884417316674</c:v>
                </c:pt>
                <c:pt idx="460">
                  <c:v>575.33441462556516</c:v>
                </c:pt>
                <c:pt idx="461">
                  <c:v>565.12571056440913</c:v>
                </c:pt>
                <c:pt idx="462">
                  <c:v>554.86323484805916</c:v>
                </c:pt>
                <c:pt idx="463">
                  <c:v>544.54748970651758</c:v>
                </c:pt>
                <c:pt idx="464">
                  <c:v>534.17897668104729</c:v>
                </c:pt>
                <c:pt idx="465">
                  <c:v>523.75819656466399</c:v>
                </c:pt>
                <c:pt idx="466">
                  <c:v>513.28564934350902</c:v>
                </c:pt>
                <c:pt idx="467">
                  <c:v>502.76183413910854</c:v>
                </c:pt>
                <c:pt idx="468">
                  <c:v>492.18724915152472</c:v>
                </c:pt>
                <c:pt idx="469">
                  <c:v>481.56239160340408</c:v>
                </c:pt>
                <c:pt idx="470">
                  <c:v>470.88775768492741</c:v>
                </c:pt>
                <c:pt idx="471">
                  <c:v>460.16384249966586</c:v>
                </c:pt>
                <c:pt idx="472">
                  <c:v>449.39114001134647</c:v>
                </c:pt>
                <c:pt idx="473">
                  <c:v>438.57014299153076</c:v>
                </c:pt>
                <c:pt idx="474">
                  <c:v>427.70134296820919</c:v>
                </c:pt>
                <c:pt idx="475">
                  <c:v>416.7852301753137</c:v>
                </c:pt>
                <c:pt idx="476">
                  <c:v>405.82229350315055</c:v>
                </c:pt>
                <c:pt idx="477">
                  <c:v>394.8130204497549</c:v>
                </c:pt>
                <c:pt idx="478">
                  <c:v>383.75789707316841</c:v>
                </c:pt>
                <c:pt idx="479">
                  <c:v>372.65740794464057</c:v>
                </c:pt>
                <c:pt idx="480">
                  <c:v>361.51203610275388</c:v>
                </c:pt>
                <c:pt idx="481">
                  <c:v>350.3222630084735</c:v>
                </c:pt>
                <c:pt idx="482">
                  <c:v>339.08856850112011</c:v>
                </c:pt>
                <c:pt idx="483">
                  <c:v>327.8114307552658</c:v>
                </c:pt>
                <c:pt idx="484">
                  <c:v>316.49132623855189</c:v>
                </c:pt>
                <c:pt idx="485">
                  <c:v>305.12872967042671</c:v>
                </c:pt>
                <c:pt idx="486">
                  <c:v>293.72411398180168</c:v>
                </c:pt>
                <c:pt idx="487">
                  <c:v>282.27795027562382</c:v>
                </c:pt>
                <c:pt idx="488">
                  <c:v>270.79070778836177</c:v>
                </c:pt>
                <c:pt idx="489">
                  <c:v>259.26285385240249</c:v>
                </c:pt>
                <c:pt idx="490">
                  <c:v>247.6948538593557</c:v>
                </c:pt>
                <c:pt idx="491">
                  <c:v>236.08717122426236</c:v>
                </c:pt>
                <c:pt idx="492">
                  <c:v>224.44026735070344</c:v>
                </c:pt>
                <c:pt idx="493">
                  <c:v>212.75460159680506</c:v>
                </c:pt>
                <c:pt idx="494">
                  <c:v>201.03063124213537</c:v>
                </c:pt>
                <c:pt idx="495">
                  <c:v>189.26881145548873</c:v>
                </c:pt>
                <c:pt idx="496">
                  <c:v>177.46959526355215</c:v>
                </c:pt>
                <c:pt idx="497">
                  <c:v>165.63343352044893</c:v>
                </c:pt>
                <c:pt idx="498">
                  <c:v>153.76077487815394</c:v>
                </c:pt>
                <c:pt idx="499">
                  <c:v>141.85206575777497</c:v>
                </c:pt>
                <c:pt idx="500">
                  <c:v>129.90775032169415</c:v>
                </c:pt>
                <c:pt idx="501">
                  <c:v>117.92827044656339</c:v>
                </c:pt>
                <c:pt idx="502">
                  <c:v>105.91406569714735</c:v>
                </c:pt>
                <c:pt idx="503">
                  <c:v>93.865573301007515</c:v>
                </c:pt>
                <c:pt idx="504">
                  <c:v>81.783228124020482</c:v>
                </c:pt>
                <c:pt idx="505">
                  <c:v>69.667462646723493</c:v>
                </c:pt>
                <c:pt idx="506">
                  <c:v>57.518706941480069</c:v>
                </c:pt>
                <c:pt idx="507">
                  <c:v>45.337388650458387</c:v>
                </c:pt>
                <c:pt idx="508">
                  <c:v>33.123932964414863</c:v>
                </c:pt>
                <c:pt idx="509">
                  <c:v>20.878762602275266</c:v>
                </c:pt>
                <c:pt idx="510">
                  <c:v>8.602297791505455</c:v>
                </c:pt>
                <c:pt idx="511">
                  <c:v>-3.7050437507362108</c:v>
                </c:pt>
                <c:pt idx="512">
                  <c:v>-3.7173664416571324</c:v>
                </c:pt>
                <c:pt idx="513">
                  <c:v>-3.7296891628324311</c:v>
                </c:pt>
                <c:pt idx="514">
                  <c:v>-3.7420119142616972</c:v>
                </c:pt>
                <c:pt idx="515">
                  <c:v>-3.7543346959445199</c:v>
                </c:pt>
                <c:pt idx="516">
                  <c:v>-3.7666575078804887</c:v>
                </c:pt>
                <c:pt idx="517">
                  <c:v>-3.7789803500691934</c:v>
                </c:pt>
                <c:pt idx="518">
                  <c:v>-3.7913032225102237</c:v>
                </c:pt>
                <c:pt idx="519">
                  <c:v>-3.8036261252031691</c:v>
                </c:pt>
                <c:pt idx="520">
                  <c:v>-3.815949058147619</c:v>
                </c:pt>
                <c:pt idx="521">
                  <c:v>-3.8282720213431634</c:v>
                </c:pt>
                <c:pt idx="522">
                  <c:v>-3.8405950147893919</c:v>
                </c:pt>
                <c:pt idx="523">
                  <c:v>-3.8529180384858939</c:v>
                </c:pt>
                <c:pt idx="524">
                  <c:v>-3.8652410924322593</c:v>
                </c:pt>
                <c:pt idx="525">
                  <c:v>-3.8775641766280775</c:v>
                </c:pt>
                <c:pt idx="526">
                  <c:v>-3.8898872910729385</c:v>
                </c:pt>
                <c:pt idx="527">
                  <c:v>-3.9022104357664316</c:v>
                </c:pt>
                <c:pt idx="528">
                  <c:v>-3.9145336107081463</c:v>
                </c:pt>
                <c:pt idx="529">
                  <c:v>-3.9268568158976724</c:v>
                </c:pt>
                <c:pt idx="530">
                  <c:v>-3.9391800513346</c:v>
                </c:pt>
                <c:pt idx="531">
                  <c:v>-3.9515033170185183</c:v>
                </c:pt>
                <c:pt idx="532">
                  <c:v>-3.9638266129490169</c:v>
                </c:pt>
                <c:pt idx="533">
                  <c:v>-3.9761499391256856</c:v>
                </c:pt>
                <c:pt idx="534">
                  <c:v>-3.9884732955481144</c:v>
                </c:pt>
                <c:pt idx="535">
                  <c:v>-4.000796682215892</c:v>
                </c:pt>
                <c:pt idx="536">
                  <c:v>-4.0131200991286091</c:v>
                </c:pt>
                <c:pt idx="537">
                  <c:v>-4.0254435462858549</c:v>
                </c:pt>
                <c:pt idx="538">
                  <c:v>-4.037767023687219</c:v>
                </c:pt>
                <c:pt idx="539">
                  <c:v>-4.0500905313322919</c:v>
                </c:pt>
                <c:pt idx="540">
                  <c:v>-4.0624140692206625</c:v>
                </c:pt>
                <c:pt idx="541">
                  <c:v>-4.0747376373519204</c:v>
                </c:pt>
                <c:pt idx="542">
                  <c:v>-4.0870612357256553</c:v>
                </c:pt>
                <c:pt idx="543">
                  <c:v>-4.0993848643414568</c:v>
                </c:pt>
                <c:pt idx="544">
                  <c:v>-4.1117085231989154</c:v>
                </c:pt>
                <c:pt idx="545">
                  <c:v>-4.1240322122976201</c:v>
                </c:pt>
                <c:pt idx="546">
                  <c:v>-4.1363559316371603</c:v>
                </c:pt>
                <c:pt idx="547">
                  <c:v>-4.1486796812171267</c:v>
                </c:pt>
                <c:pt idx="548">
                  <c:v>-4.1610034610371081</c:v>
                </c:pt>
                <c:pt idx="549">
                  <c:v>-4.1733272710966949</c:v>
                </c:pt>
                <c:pt idx="550">
                  <c:v>-4.185651111395476</c:v>
                </c:pt>
                <c:pt idx="551">
                  <c:v>-4.1979749819330419</c:v>
                </c:pt>
                <c:pt idx="552">
                  <c:v>-4.2102988827089813</c:v>
                </c:pt>
                <c:pt idx="553">
                  <c:v>-4.2226228137228849</c:v>
                </c:pt>
                <c:pt idx="554">
                  <c:v>-4.2349467749743424</c:v>
                </c:pt>
                <c:pt idx="555">
                  <c:v>-4.2472707664629423</c:v>
                </c:pt>
                <c:pt idx="556">
                  <c:v>-4.2595947881882754</c:v>
                </c:pt>
                <c:pt idx="557">
                  <c:v>-4.2719188401499313</c:v>
                </c:pt>
                <c:pt idx="558">
                  <c:v>-4.2842429223474996</c:v>
                </c:pt>
                <c:pt idx="559">
                  <c:v>-4.29656703478057</c:v>
                </c:pt>
                <c:pt idx="560">
                  <c:v>-4.3088911774487322</c:v>
                </c:pt>
                <c:pt idx="561">
                  <c:v>-4.3212153503515758</c:v>
                </c:pt>
                <c:pt idx="562">
                  <c:v>-4.3335395534886914</c:v>
                </c:pt>
                <c:pt idx="563">
                  <c:v>-4.3458637868596677</c:v>
                </c:pt>
                <c:pt idx="564">
                  <c:v>-4.3581880504640953</c:v>
                </c:pt>
                <c:pt idx="565">
                  <c:v>-4.370512344301563</c:v>
                </c:pt>
                <c:pt idx="566">
                  <c:v>-4.3828366683716613</c:v>
                </c:pt>
                <c:pt idx="567">
                  <c:v>-4.395161022673979</c:v>
                </c:pt>
                <c:pt idx="568">
                  <c:v>-4.4074854072081067</c:v>
                </c:pt>
                <c:pt idx="569">
                  <c:v>-4.4198098219736339</c:v>
                </c:pt>
                <c:pt idx="570">
                  <c:v>-4.4321342669701504</c:v>
                </c:pt>
                <c:pt idx="571">
                  <c:v>-4.4444587421972459</c:v>
                </c:pt>
                <c:pt idx="572">
                  <c:v>-4.4567832476545108</c:v>
                </c:pt>
                <c:pt idx="573">
                  <c:v>-4.469107783341534</c:v>
                </c:pt>
                <c:pt idx="574">
                  <c:v>-4.4814323492579051</c:v>
                </c:pt>
                <c:pt idx="575">
                  <c:v>-4.4937569454032147</c:v>
                </c:pt>
                <c:pt idx="576">
                  <c:v>-4.5060815717770524</c:v>
                </c:pt>
                <c:pt idx="577">
                  <c:v>-4.518406228379007</c:v>
                </c:pt>
                <c:pt idx="578">
                  <c:v>-4.530730915208669</c:v>
                </c:pt>
                <c:pt idx="579">
                  <c:v>-4.5430556322656281</c:v>
                </c:pt>
                <c:pt idx="580">
                  <c:v>-4.5553803795494749</c:v>
                </c:pt>
                <c:pt idx="581">
                  <c:v>-4.5677051570597982</c:v>
                </c:pt>
                <c:pt idx="582">
                  <c:v>-4.5800299647961875</c:v>
                </c:pt>
                <c:pt idx="583">
                  <c:v>-4.5923548027582335</c:v>
                </c:pt>
                <c:pt idx="584">
                  <c:v>-4.6046796709455258</c:v>
                </c:pt>
                <c:pt idx="585">
                  <c:v>-4.617004569357654</c:v>
                </c:pt>
                <c:pt idx="586">
                  <c:v>-4.6293294979942079</c:v>
                </c:pt>
                <c:pt idx="587">
                  <c:v>-4.6416544568547771</c:v>
                </c:pt>
                <c:pt idx="588">
                  <c:v>-4.6539794459389512</c:v>
                </c:pt>
                <c:pt idx="589">
                  <c:v>-4.6663044652463208</c:v>
                </c:pt>
                <c:pt idx="590">
                  <c:v>-4.6786295147764756</c:v>
                </c:pt>
                <c:pt idx="591">
                  <c:v>-4.6909545945290043</c:v>
                </c:pt>
                <c:pt idx="592">
                  <c:v>-4.7032797045034975</c:v>
                </c:pt>
                <c:pt idx="593">
                  <c:v>-4.7156048446995458</c:v>
                </c:pt>
                <c:pt idx="594">
                  <c:v>-4.7279300151167378</c:v>
                </c:pt>
                <c:pt idx="595">
                  <c:v>-4.7402552157546634</c:v>
                </c:pt>
                <c:pt idx="596">
                  <c:v>-4.7525804466129129</c:v>
                </c:pt>
                <c:pt idx="597">
                  <c:v>-4.7649057076910761</c:v>
                </c:pt>
                <c:pt idx="598">
                  <c:v>-4.7772309989887427</c:v>
                </c:pt>
                <c:pt idx="599">
                  <c:v>-4.7895563205055023</c:v>
                </c:pt>
                <c:pt idx="600">
                  <c:v>-4.8018816722409454</c:v>
                </c:pt>
                <c:pt idx="601">
                  <c:v>-4.8142070541946609</c:v>
                </c:pt>
                <c:pt idx="602">
                  <c:v>-4.8265324663662392</c:v>
                </c:pt>
                <c:pt idx="603">
                  <c:v>-4.8388579087552701</c:v>
                </c:pt>
                <c:pt idx="604">
                  <c:v>-4.8511833813613432</c:v>
                </c:pt>
                <c:pt idx="605">
                  <c:v>-4.863508884184049</c:v>
                </c:pt>
                <c:pt idx="606">
                  <c:v>-4.8758344172229764</c:v>
                </c:pt>
                <c:pt idx="607">
                  <c:v>-4.8881599804777158</c:v>
                </c:pt>
                <c:pt idx="608">
                  <c:v>-4.900485573947857</c:v>
                </c:pt>
                <c:pt idx="609">
                  <c:v>-4.9128111976329905</c:v>
                </c:pt>
                <c:pt idx="610">
                  <c:v>-4.925136851532705</c:v>
                </c:pt>
                <c:pt idx="611">
                  <c:v>-4.9374625356465911</c:v>
                </c:pt>
                <c:pt idx="612">
                  <c:v>-4.9497882499742385</c:v>
                </c:pt>
                <c:pt idx="613">
                  <c:v>-4.9621139945152368</c:v>
                </c:pt>
                <c:pt idx="614">
                  <c:v>-4.9744397692691757</c:v>
                </c:pt>
                <c:pt idx="615">
                  <c:v>-4.9867655742356458</c:v>
                </c:pt>
                <c:pt idx="616">
                  <c:v>-4.9990914094142367</c:v>
                </c:pt>
                <c:pt idx="617">
                  <c:v>-5.011417274804538</c:v>
                </c:pt>
                <c:pt idx="618">
                  <c:v>-5.0237431704061395</c:v>
                </c:pt>
                <c:pt idx="619">
                  <c:v>-5.0360690962186307</c:v>
                </c:pt>
                <c:pt idx="620">
                  <c:v>-5.0483950522416023</c:v>
                </c:pt>
                <c:pt idx="621">
                  <c:v>-5.0607210384746439</c:v>
                </c:pt>
                <c:pt idx="622">
                  <c:v>-5.0730470549173461</c:v>
                </c:pt>
                <c:pt idx="623">
                  <c:v>-5.0853731015692976</c:v>
                </c:pt>
                <c:pt idx="624">
                  <c:v>-5.0976991784300889</c:v>
                </c:pt>
                <c:pt idx="625">
                  <c:v>-5.1100252854993098</c:v>
                </c:pt>
                <c:pt idx="626">
                  <c:v>-5.1223514227765499</c:v>
                </c:pt>
                <c:pt idx="627">
                  <c:v>-5.1346775902613997</c:v>
                </c:pt>
                <c:pt idx="628">
                  <c:v>-5.1470037879534489</c:v>
                </c:pt>
                <c:pt idx="629">
                  <c:v>-5.1593300158522872</c:v>
                </c:pt>
                <c:pt idx="630">
                  <c:v>-5.1716562739575043</c:v>
                </c:pt>
                <c:pt idx="631">
                  <c:v>-5.1839825622686906</c:v>
                </c:pt>
                <c:pt idx="632">
                  <c:v>-5.1963088807854358</c:v>
                </c:pt>
                <c:pt idx="633">
                  <c:v>-5.2086352295073297</c:v>
                </c:pt>
                <c:pt idx="634">
                  <c:v>-5.2209616084339627</c:v>
                </c:pt>
                <c:pt idx="635">
                  <c:v>-5.2332880175649246</c:v>
                </c:pt>
                <c:pt idx="636">
                  <c:v>-5.2456144568998049</c:v>
                </c:pt>
                <c:pt idx="637">
                  <c:v>-5.2579409264381933</c:v>
                </c:pt>
                <c:pt idx="638">
                  <c:v>-5.2702674261796805</c:v>
                </c:pt>
                <c:pt idx="639">
                  <c:v>-5.282593956123856</c:v>
                </c:pt>
                <c:pt idx="640">
                  <c:v>-5.2949205162703095</c:v>
                </c:pt>
                <c:pt idx="641">
                  <c:v>-5.3072471066186315</c:v>
                </c:pt>
                <c:pt idx="642">
                  <c:v>-5.3195737271684118</c:v>
                </c:pt>
                <c:pt idx="643">
                  <c:v>-5.33190037791924</c:v>
                </c:pt>
                <c:pt idx="644">
                  <c:v>-5.3442270588707057</c:v>
                </c:pt>
                <c:pt idx="645">
                  <c:v>-5.3565537700223995</c:v>
                </c:pt>
                <c:pt idx="646">
                  <c:v>-5.3688805113739111</c:v>
                </c:pt>
                <c:pt idx="647">
                  <c:v>-5.381207282924831</c:v>
                </c:pt>
                <c:pt idx="648">
                  <c:v>-5.3935340846747488</c:v>
                </c:pt>
                <c:pt idx="649">
                  <c:v>-5.4058609166232543</c:v>
                </c:pt>
                <c:pt idx="650">
                  <c:v>-5.4181877787699371</c:v>
                </c:pt>
                <c:pt idx="651">
                  <c:v>-5.4305146711143877</c:v>
                </c:pt>
                <c:pt idx="652">
                  <c:v>-5.4428415936561958</c:v>
                </c:pt>
                <c:pt idx="653">
                  <c:v>-5.455168546394952</c:v>
                </c:pt>
                <c:pt idx="654">
                  <c:v>-5.4674955293302459</c:v>
                </c:pt>
                <c:pt idx="655">
                  <c:v>-5.4798225424616671</c:v>
                </c:pt>
                <c:pt idx="656">
                  <c:v>-5.4921495857888054</c:v>
                </c:pt>
                <c:pt idx="657">
                  <c:v>-5.5044766593112513</c:v>
                </c:pt>
                <c:pt idx="658">
                  <c:v>-5.5168037630285953</c:v>
                </c:pt>
                <c:pt idx="659">
                  <c:v>-5.5291308969404263</c:v>
                </c:pt>
                <c:pt idx="660">
                  <c:v>-5.5414580610463346</c:v>
                </c:pt>
                <c:pt idx="661">
                  <c:v>-5.5537852553459102</c:v>
                </c:pt>
                <c:pt idx="662">
                  <c:v>-5.5661124798387434</c:v>
                </c:pt>
                <c:pt idx="663">
                  <c:v>-5.5784397345244239</c:v>
                </c:pt>
                <c:pt idx="664">
                  <c:v>-5.5907670194025423</c:v>
                </c:pt>
                <c:pt idx="665">
                  <c:v>-5.6030943344726873</c:v>
                </c:pt>
                <c:pt idx="666">
                  <c:v>-5.6154216797344496</c:v>
                </c:pt>
                <c:pt idx="667">
                  <c:v>-5.6277490551874196</c:v>
                </c:pt>
                <c:pt idx="668">
                  <c:v>-5.6400764608311871</c:v>
                </c:pt>
                <c:pt idx="669">
                  <c:v>-5.6524038966653416</c:v>
                </c:pt>
                <c:pt idx="670">
                  <c:v>-5.6647313626894737</c:v>
                </c:pt>
                <c:pt idx="671">
                  <c:v>-5.6770588589031732</c:v>
                </c:pt>
                <c:pt idx="672">
                  <c:v>-5.6893863853060305</c:v>
                </c:pt>
                <c:pt idx="673">
                  <c:v>-5.7017139418976344</c:v>
                </c:pt>
                <c:pt idx="674">
                  <c:v>-5.7140415286775763</c:v>
                </c:pt>
                <c:pt idx="675">
                  <c:v>-5.7263691456454451</c:v>
                </c:pt>
                <c:pt idx="676">
                  <c:v>-5.7386967928008321</c:v>
                </c:pt>
                <c:pt idx="677">
                  <c:v>-5.7510244701433262</c:v>
                </c:pt>
                <c:pt idx="678">
                  <c:v>-5.7633521776725178</c:v>
                </c:pt>
                <c:pt idx="679">
                  <c:v>-5.7756799153879967</c:v>
                </c:pt>
                <c:pt idx="680">
                  <c:v>-5.7880076832893534</c:v>
                </c:pt>
                <c:pt idx="681">
                  <c:v>-5.8003354813761776</c:v>
                </c:pt>
                <c:pt idx="682">
                  <c:v>-5.8126633096480598</c:v>
                </c:pt>
                <c:pt idx="683">
                  <c:v>-5.8249911681045896</c:v>
                </c:pt>
                <c:pt idx="684">
                  <c:v>-5.8373190567453568</c:v>
                </c:pt>
                <c:pt idx="685">
                  <c:v>-5.8496469755699518</c:v>
                </c:pt>
                <c:pt idx="686">
                  <c:v>-5.8619749245779644</c:v>
                </c:pt>
                <c:pt idx="687">
                  <c:v>-5.8743029037689851</c:v>
                </c:pt>
                <c:pt idx="688">
                  <c:v>-5.8866309131426036</c:v>
                </c:pt>
                <c:pt idx="689">
                  <c:v>-5.8989589526984103</c:v>
                </c:pt>
                <c:pt idx="690">
                  <c:v>-5.911287022435995</c:v>
                </c:pt>
                <c:pt idx="691">
                  <c:v>-5.9236151223549482</c:v>
                </c:pt>
                <c:pt idx="692">
                  <c:v>-5.9359432524548597</c:v>
                </c:pt>
                <c:pt idx="693">
                  <c:v>-5.9482714127353189</c:v>
                </c:pt>
                <c:pt idx="694">
                  <c:v>-5.9605996031959165</c:v>
                </c:pt>
                <c:pt idx="695">
                  <c:v>-5.9729278238362422</c:v>
                </c:pt>
                <c:pt idx="696">
                  <c:v>-5.9852560746558865</c:v>
                </c:pt>
                <c:pt idx="697">
                  <c:v>-5.997584355654439</c:v>
                </c:pt>
                <c:pt idx="698">
                  <c:v>-6.0099126668314904</c:v>
                </c:pt>
                <c:pt idx="699">
                  <c:v>-6.0222410081866302</c:v>
                </c:pt>
                <c:pt idx="700">
                  <c:v>-6.0345693797194491</c:v>
                </c:pt>
                <c:pt idx="701">
                  <c:v>-6.0468977814295366</c:v>
                </c:pt>
                <c:pt idx="702">
                  <c:v>-6.0592262133164834</c:v>
                </c:pt>
                <c:pt idx="703">
                  <c:v>-6.071554675379879</c:v>
                </c:pt>
                <c:pt idx="704">
                  <c:v>-6.0838831676193132</c:v>
                </c:pt>
                <c:pt idx="705">
                  <c:v>-6.0962116900343775</c:v>
                </c:pt>
                <c:pt idx="706">
                  <c:v>-6.1085402426246604</c:v>
                </c:pt>
                <c:pt idx="707">
                  <c:v>-6.1208688253897527</c:v>
                </c:pt>
                <c:pt idx="708">
                  <c:v>-6.1331974383292449</c:v>
                </c:pt>
                <c:pt idx="709">
                  <c:v>-6.1455260814427266</c:v>
                </c:pt>
                <c:pt idx="710">
                  <c:v>-6.1578547547297875</c:v>
                </c:pt>
                <c:pt idx="711">
                  <c:v>-6.1701834581900181</c:v>
                </c:pt>
                <c:pt idx="712">
                  <c:v>-6.182512191823009</c:v>
                </c:pt>
                <c:pt idx="713">
                  <c:v>-6.1948409556283499</c:v>
                </c:pt>
                <c:pt idx="714">
                  <c:v>-6.2071697496056313</c:v>
                </c:pt>
                <c:pt idx="715">
                  <c:v>-6.2194985737544428</c:v>
                </c:pt>
                <c:pt idx="716">
                  <c:v>-6.2318274280743751</c:v>
                </c:pt>
                <c:pt idx="717">
                  <c:v>-6.2441563125650177</c:v>
                </c:pt>
                <c:pt idx="718">
                  <c:v>-6.2564852272259603</c:v>
                </c:pt>
                <c:pt idx="719">
                  <c:v>-6.2688141720567945</c:v>
                </c:pt>
                <c:pt idx="720">
                  <c:v>-6.2811431470571089</c:v>
                </c:pt>
                <c:pt idx="721">
                  <c:v>-6.2934721522264949</c:v>
                </c:pt>
                <c:pt idx="722">
                  <c:v>-6.3058011875645423</c:v>
                </c:pt>
                <c:pt idx="723">
                  <c:v>-6.3181302530708408</c:v>
                </c:pt>
                <c:pt idx="724">
                  <c:v>-6.3304593487449807</c:v>
                </c:pt>
                <c:pt idx="725">
                  <c:v>-6.3427884745865519</c:v>
                </c:pt>
                <c:pt idx="726">
                  <c:v>-6.3551176305951449</c:v>
                </c:pt>
                <c:pt idx="727">
                  <c:v>-6.3674468167703502</c:v>
                </c:pt>
                <c:pt idx="728">
                  <c:v>-6.3797760331117574</c:v>
                </c:pt>
                <c:pt idx="729">
                  <c:v>-6.3921052796189572</c:v>
                </c:pt>
                <c:pt idx="730">
                  <c:v>-6.4044345562915392</c:v>
                </c:pt>
                <c:pt idx="731">
                  <c:v>-6.416763863129094</c:v>
                </c:pt>
                <c:pt idx="732">
                  <c:v>-6.4290932001312111</c:v>
                </c:pt>
                <c:pt idx="733">
                  <c:v>-6.4414225672974812</c:v>
                </c:pt>
                <c:pt idx="734">
                  <c:v>-6.4537519646274939</c:v>
                </c:pt>
                <c:pt idx="735">
                  <c:v>-6.4660813921208398</c:v>
                </c:pt>
                <c:pt idx="736">
                  <c:v>-6.4784108497771093</c:v>
                </c:pt>
                <c:pt idx="737">
                  <c:v>-6.4907403375958923</c:v>
                </c:pt>
                <c:pt idx="738">
                  <c:v>-6.5030698555767792</c:v>
                </c:pt>
                <c:pt idx="739">
                  <c:v>-6.5153994037193597</c:v>
                </c:pt>
                <c:pt idx="740">
                  <c:v>-6.5277289820232243</c:v>
                </c:pt>
                <c:pt idx="741">
                  <c:v>-6.5400585904879636</c:v>
                </c:pt>
                <c:pt idx="742">
                  <c:v>-6.5523882291131672</c:v>
                </c:pt>
                <c:pt idx="743">
                  <c:v>-6.5647178978984257</c:v>
                </c:pt>
                <c:pt idx="744">
                  <c:v>-6.5770475968433288</c:v>
                </c:pt>
                <c:pt idx="745">
                  <c:v>-6.5893773259474671</c:v>
                </c:pt>
                <c:pt idx="746">
                  <c:v>-6.6017070852104309</c:v>
                </c:pt>
                <c:pt idx="747">
                  <c:v>-6.6140368746318101</c:v>
                </c:pt>
                <c:pt idx="748">
                  <c:v>-6.6263666942111952</c:v>
                </c:pt>
                <c:pt idx="749">
                  <c:v>-6.6386965439481758</c:v>
                </c:pt>
                <c:pt idx="750">
                  <c:v>-6.6510264238423424</c:v>
                </c:pt>
                <c:pt idx="751">
                  <c:v>-6.6633563338932857</c:v>
                </c:pt>
                <c:pt idx="752">
                  <c:v>-6.6756862741005953</c:v>
                </c:pt>
                <c:pt idx="753">
                  <c:v>-6.6880162444638618</c:v>
                </c:pt>
                <c:pt idx="754">
                  <c:v>-6.7003462449826756</c:v>
                </c:pt>
                <c:pt idx="755">
                  <c:v>-6.7126762756566265</c:v>
                </c:pt>
                <c:pt idx="756">
                  <c:v>-6.7250063364853041</c:v>
                </c:pt>
                <c:pt idx="757">
                  <c:v>-6.7373364274682999</c:v>
                </c:pt>
                <c:pt idx="758">
                  <c:v>-6.7496665486052034</c:v>
                </c:pt>
                <c:pt idx="759">
                  <c:v>-6.7619966998956054</c:v>
                </c:pt>
                <c:pt idx="760">
                  <c:v>-6.7743268813390953</c:v>
                </c:pt>
                <c:pt idx="761">
                  <c:v>-6.7866570929352639</c:v>
                </c:pt>
                <c:pt idx="762">
                  <c:v>-6.7989873346837015</c:v>
                </c:pt>
                <c:pt idx="763">
                  <c:v>-6.811317606583998</c:v>
                </c:pt>
                <c:pt idx="764">
                  <c:v>-6.8236479086357438</c:v>
                </c:pt>
                <c:pt idx="765">
                  <c:v>-6.8359782408385286</c:v>
                </c:pt>
                <c:pt idx="766">
                  <c:v>-6.8483086031919438</c:v>
                </c:pt>
                <c:pt idx="767">
                  <c:v>-6.8606389956955791</c:v>
                </c:pt>
                <c:pt idx="768">
                  <c:v>-6.8729694183490242</c:v>
                </c:pt>
                <c:pt idx="769">
                  <c:v>-6.8852998711518696</c:v>
                </c:pt>
                <c:pt idx="770">
                  <c:v>-6.8976303541037058</c:v>
                </c:pt>
                <c:pt idx="771">
                  <c:v>-6.9099608672041235</c:v>
                </c:pt>
                <c:pt idx="772">
                  <c:v>-6.9222914104527122</c:v>
                </c:pt>
                <c:pt idx="773">
                  <c:v>-6.9346219838490626</c:v>
                </c:pt>
                <c:pt idx="774">
                  <c:v>-6.9469525873927651</c:v>
                </c:pt>
                <c:pt idx="775">
                  <c:v>-6.9592832210834095</c:v>
                </c:pt>
                <c:pt idx="776">
                  <c:v>-6.9716138849205862</c:v>
                </c:pt>
                <c:pt idx="777">
                  <c:v>-6.9839445789038859</c:v>
                </c:pt>
                <c:pt idx="778">
                  <c:v>-6.996275303032899</c:v>
                </c:pt>
                <c:pt idx="779">
                  <c:v>-7.0086060573072153</c:v>
                </c:pt>
                <c:pt idx="780">
                  <c:v>-7.0209368417264253</c:v>
                </c:pt>
                <c:pt idx="781">
                  <c:v>-7.0332676562901186</c:v>
                </c:pt>
                <c:pt idx="782">
                  <c:v>-7.0455985009978859</c:v>
                </c:pt>
                <c:pt idx="783">
                  <c:v>-7.0579293758493176</c:v>
                </c:pt>
                <c:pt idx="784">
                  <c:v>-7.0702602808440043</c:v>
                </c:pt>
                <c:pt idx="785">
                  <c:v>-7.0825912159815356</c:v>
                </c:pt>
                <c:pt idx="786">
                  <c:v>-7.0949221812615031</c:v>
                </c:pt>
                <c:pt idx="787">
                  <c:v>-7.1072531766834954</c:v>
                </c:pt>
                <c:pt idx="788">
                  <c:v>-7.1195842022471041</c:v>
                </c:pt>
                <c:pt idx="789">
                  <c:v>-7.1319152579519187</c:v>
                </c:pt>
                <c:pt idx="790">
                  <c:v>-7.1442463437975299</c:v>
                </c:pt>
                <c:pt idx="791">
                  <c:v>-7.1565774597835281</c:v>
                </c:pt>
                <c:pt idx="792">
                  <c:v>-7.168908605909504</c:v>
                </c:pt>
                <c:pt idx="793">
                  <c:v>-7.1812397821750471</c:v>
                </c:pt>
                <c:pt idx="794">
                  <c:v>-7.1935709885797481</c:v>
                </c:pt>
                <c:pt idx="795">
                  <c:v>-7.2059022251231966</c:v>
                </c:pt>
                <c:pt idx="796">
                  <c:v>-7.218233491804984</c:v>
                </c:pt>
                <c:pt idx="797">
                  <c:v>-7.2305647886247</c:v>
                </c:pt>
                <c:pt idx="798">
                  <c:v>-7.2428961155819351</c:v>
                </c:pt>
                <c:pt idx="799">
                  <c:v>-7.25522747267628</c:v>
                </c:pt>
                <c:pt idx="800">
                  <c:v>-7.2675588599073242</c:v>
                </c:pt>
                <c:pt idx="801">
                  <c:v>-7.2798902772746592</c:v>
                </c:pt>
                <c:pt idx="802">
                  <c:v>-7.2922217247778747</c:v>
                </c:pt>
                <c:pt idx="803">
                  <c:v>-7.3045532024165603</c:v>
                </c:pt>
                <c:pt idx="804">
                  <c:v>-7.3168847101903074</c:v>
                </c:pt>
                <c:pt idx="805">
                  <c:v>-7.3292162480987058</c:v>
                </c:pt>
                <c:pt idx="806">
                  <c:v>-7.3415478161413459</c:v>
                </c:pt>
                <c:pt idx="807">
                  <c:v>-7.3538794143178183</c:v>
                </c:pt>
                <c:pt idx="808">
                  <c:v>-7.3662110426277136</c:v>
                </c:pt>
                <c:pt idx="809">
                  <c:v>-7.3785427010706215</c:v>
                </c:pt>
                <c:pt idx="810">
                  <c:v>-7.3908743896461333</c:v>
                </c:pt>
                <c:pt idx="811">
                  <c:v>-7.4032061083538387</c:v>
                </c:pt>
                <c:pt idx="812">
                  <c:v>-7.4155378571933284</c:v>
                </c:pt>
                <c:pt idx="813">
                  <c:v>-7.4278696361641918</c:v>
                </c:pt>
                <c:pt idx="814">
                  <c:v>-7.4402014452660206</c:v>
                </c:pt>
                <c:pt idx="815">
                  <c:v>-7.4525332844984042</c:v>
                </c:pt>
                <c:pt idx="816">
                  <c:v>-7.4648651538609334</c:v>
                </c:pt>
                <c:pt idx="817">
                  <c:v>-7.4771970533531986</c:v>
                </c:pt>
                <c:pt idx="818">
                  <c:v>-7.4895289829747895</c:v>
                </c:pt>
                <c:pt idx="819">
                  <c:v>-7.5018609427252976</c:v>
                </c:pt>
                <c:pt idx="820">
                  <c:v>-7.5141929326043124</c:v>
                </c:pt>
                <c:pt idx="821">
                  <c:v>-7.5265249526114246</c:v>
                </c:pt>
                <c:pt idx="822">
                  <c:v>-7.5388570027462247</c:v>
                </c:pt>
                <c:pt idx="823">
                  <c:v>-7.5511890830083033</c:v>
                </c:pt>
                <c:pt idx="824">
                  <c:v>-7.5635211933972499</c:v>
                </c:pt>
                <c:pt idx="825">
                  <c:v>-7.5758533339126561</c:v>
                </c:pt>
                <c:pt idx="826">
                  <c:v>-7.5881855045541116</c:v>
                </c:pt>
                <c:pt idx="827">
                  <c:v>-7.6005177053212067</c:v>
                </c:pt>
                <c:pt idx="828">
                  <c:v>-7.6128499362135322</c:v>
                </c:pt>
                <c:pt idx="829">
                  <c:v>-7.6251821972306786</c:v>
                </c:pt>
                <c:pt idx="830">
                  <c:v>-7.6375144883722363</c:v>
                </c:pt>
                <c:pt idx="831">
                  <c:v>-7.6498468096377952</c:v>
                </c:pt>
                <c:pt idx="832">
                  <c:v>-7.6621791610269456</c:v>
                </c:pt>
                <c:pt idx="833">
                  <c:v>-7.6745115425392783</c:v>
                </c:pt>
                <c:pt idx="834">
                  <c:v>-7.6868439541743836</c:v>
                </c:pt>
                <c:pt idx="835">
                  <c:v>-7.6991763959318522</c:v>
                </c:pt>
                <c:pt idx="836">
                  <c:v>-7.7115088678112746</c:v>
                </c:pt>
                <c:pt idx="837">
                  <c:v>-7.7238413698122415</c:v>
                </c:pt>
                <c:pt idx="838">
                  <c:v>-7.7361739019343423</c:v>
                </c:pt>
                <c:pt idx="839">
                  <c:v>-7.7485064641771677</c:v>
                </c:pt>
                <c:pt idx="840">
                  <c:v>-7.7608390565403091</c:v>
                </c:pt>
                <c:pt idx="841">
                  <c:v>-7.7731716790233563</c:v>
                </c:pt>
                <c:pt idx="842">
                  <c:v>-7.7855043316258996</c:v>
                </c:pt>
                <c:pt idx="843">
                  <c:v>-7.7978370143475297</c:v>
                </c:pt>
                <c:pt idx="844">
                  <c:v>-7.8101697271878363</c:v>
                </c:pt>
                <c:pt idx="845">
                  <c:v>-7.8225024701464108</c:v>
                </c:pt>
                <c:pt idx="846">
                  <c:v>-7.8348352432228436</c:v>
                </c:pt>
                <c:pt idx="847">
                  <c:v>-7.8471680464167246</c:v>
                </c:pt>
                <c:pt idx="848">
                  <c:v>-7.8595008797276442</c:v>
                </c:pt>
                <c:pt idx="849">
                  <c:v>-7.871833743155193</c:v>
                </c:pt>
                <c:pt idx="850">
                  <c:v>-7.8841666366989624</c:v>
                </c:pt>
                <c:pt idx="851">
                  <c:v>-7.8964995603585422</c:v>
                </c:pt>
                <c:pt idx="852">
                  <c:v>-7.9088325141335227</c:v>
                </c:pt>
                <c:pt idx="853">
                  <c:v>-7.9211654980234938</c:v>
                </c:pt>
                <c:pt idx="854">
                  <c:v>-7.9334985120280468</c:v>
                </c:pt>
                <c:pt idx="855">
                  <c:v>-7.9458315561467723</c:v>
                </c:pt>
                <c:pt idx="856">
                  <c:v>-7.9581646303792599</c:v>
                </c:pt>
                <c:pt idx="857">
                  <c:v>-7.9704977347251011</c:v>
                </c:pt>
                <c:pt idx="858">
                  <c:v>-7.9828308691838856</c:v>
                </c:pt>
                <c:pt idx="859">
                  <c:v>-7.9951640337552048</c:v>
                </c:pt>
                <c:pt idx="860">
                  <c:v>-8.0074972284386483</c:v>
                </c:pt>
                <c:pt idx="861">
                  <c:v>-8.0198304532338067</c:v>
                </c:pt>
                <c:pt idx="862">
                  <c:v>-8.0321637081402706</c:v>
                </c:pt>
                <c:pt idx="863">
                  <c:v>-8.0444969931576313</c:v>
                </c:pt>
                <c:pt idx="864">
                  <c:v>-8.0568303082854786</c:v>
                </c:pt>
                <c:pt idx="865">
                  <c:v>-8.0691636535234021</c:v>
                </c:pt>
                <c:pt idx="866">
                  <c:v>-8.0814970288709933</c:v>
                </c:pt>
                <c:pt idx="867">
                  <c:v>-8.0938304343278435</c:v>
                </c:pt>
                <c:pt idx="868">
                  <c:v>-8.1061638698935425</c:v>
                </c:pt>
                <c:pt idx="869">
                  <c:v>-8.1184973355676799</c:v>
                </c:pt>
                <c:pt idx="870">
                  <c:v>-8.1308308313498472</c:v>
                </c:pt>
                <c:pt idx="871">
                  <c:v>-8.1431643572396339</c:v>
                </c:pt>
                <c:pt idx="872">
                  <c:v>-8.1554979132366316</c:v>
                </c:pt>
                <c:pt idx="873">
                  <c:v>-8.16783149934043</c:v>
                </c:pt>
                <c:pt idx="874">
                  <c:v>-8.1801651155506203</c:v>
                </c:pt>
                <c:pt idx="875">
                  <c:v>-8.1924987618667942</c:v>
                </c:pt>
                <c:pt idx="876">
                  <c:v>-8.2048324382885394</c:v>
                </c:pt>
                <c:pt idx="877">
                  <c:v>-8.2171661448154492</c:v>
                </c:pt>
                <c:pt idx="878">
                  <c:v>-8.2294998814471114</c:v>
                </c:pt>
                <c:pt idx="879">
                  <c:v>-8.2418336481831194</c:v>
                </c:pt>
                <c:pt idx="880">
                  <c:v>-8.2541674450230609</c:v>
                </c:pt>
                <c:pt idx="881">
                  <c:v>-8.2665012719665292</c:v>
                </c:pt>
                <c:pt idx="882">
                  <c:v>-8.2788351290131121</c:v>
                </c:pt>
                <c:pt idx="883">
                  <c:v>-8.291169016162403</c:v>
                </c:pt>
                <c:pt idx="884">
                  <c:v>-8.3035029334139896</c:v>
                </c:pt>
                <c:pt idx="885">
                  <c:v>-8.3158368807674652</c:v>
                </c:pt>
                <c:pt idx="886">
                  <c:v>-8.3281708582224176</c:v>
                </c:pt>
                <c:pt idx="887">
                  <c:v>-8.3405048657784402</c:v>
                </c:pt>
                <c:pt idx="888">
                  <c:v>-8.3528389034351207</c:v>
                </c:pt>
                <c:pt idx="889">
                  <c:v>-8.3651729711920524</c:v>
                </c:pt>
                <c:pt idx="890">
                  <c:v>-8.3775070690488231</c:v>
                </c:pt>
                <c:pt idx="891">
                  <c:v>-8.3898411970050262</c:v>
                </c:pt>
                <c:pt idx="892">
                  <c:v>-8.4021753550602511</c:v>
                </c:pt>
                <c:pt idx="893">
                  <c:v>-8.4145095432140877</c:v>
                </c:pt>
                <c:pt idx="894">
                  <c:v>-8.4268437614661273</c:v>
                </c:pt>
                <c:pt idx="895">
                  <c:v>-8.4391780098159597</c:v>
                </c:pt>
                <c:pt idx="896">
                  <c:v>-8.4515122882631761</c:v>
                </c:pt>
                <c:pt idx="897">
                  <c:v>-8.4638465968073664</c:v>
                </c:pt>
                <c:pt idx="898">
                  <c:v>-8.4761809354481219</c:v>
                </c:pt>
                <c:pt idx="899">
                  <c:v>-8.4885153041850341</c:v>
                </c:pt>
                <c:pt idx="900">
                  <c:v>-8.5008497030176908</c:v>
                </c:pt>
                <c:pt idx="901">
                  <c:v>-8.5131841319456854</c:v>
                </c:pt>
                <c:pt idx="902">
                  <c:v>-8.5255185909686073</c:v>
                </c:pt>
                <c:pt idx="903">
                  <c:v>-8.5378530800860464</c:v>
                </c:pt>
                <c:pt idx="904">
                  <c:v>-8.5501875992975958</c:v>
                </c:pt>
                <c:pt idx="905">
                  <c:v>-8.5625221486028433</c:v>
                </c:pt>
                <c:pt idx="906">
                  <c:v>-8.5748567280013805</c:v>
                </c:pt>
                <c:pt idx="907">
                  <c:v>-8.5871913374927988</c:v>
                </c:pt>
                <c:pt idx="908">
                  <c:v>-8.5995259770766879</c:v>
                </c:pt>
                <c:pt idx="909">
                  <c:v>-8.6118606467526391</c:v>
                </c:pt>
                <c:pt idx="910">
                  <c:v>-8.6241953465202421</c:v>
                </c:pt>
                <c:pt idx="911">
                  <c:v>-8.6365300763790884</c:v>
                </c:pt>
                <c:pt idx="912">
                  <c:v>-8.6488648363287677</c:v>
                </c:pt>
                <c:pt idx="913">
                  <c:v>-8.6611996263688713</c:v>
                </c:pt>
                <c:pt idx="914">
                  <c:v>-8.673534446498989</c:v>
                </c:pt>
                <c:pt idx="915">
                  <c:v>-8.6858692967187121</c:v>
                </c:pt>
                <c:pt idx="916">
                  <c:v>-8.6982041770276322</c:v>
                </c:pt>
                <c:pt idx="917">
                  <c:v>-8.7105390874253388</c:v>
                </c:pt>
                <c:pt idx="918">
                  <c:v>-8.7228740279114216</c:v>
                </c:pt>
                <c:pt idx="919">
                  <c:v>-8.7352089984854739</c:v>
                </c:pt>
                <c:pt idx="920">
                  <c:v>-8.7475439991470836</c:v>
                </c:pt>
                <c:pt idx="921">
                  <c:v>-8.7598790298958438</c:v>
                </c:pt>
                <c:pt idx="922">
                  <c:v>-8.7722140907313424</c:v>
                </c:pt>
                <c:pt idx="923">
                  <c:v>-8.7845491816531727</c:v>
                </c:pt>
                <c:pt idx="924">
                  <c:v>-8.7968843026609242</c:v>
                </c:pt>
                <c:pt idx="925">
                  <c:v>-8.8092194537541868</c:v>
                </c:pt>
                <c:pt idx="926">
                  <c:v>-8.8215546349325518</c:v>
                </c:pt>
                <c:pt idx="927">
                  <c:v>-8.8338898461956106</c:v>
                </c:pt>
                <c:pt idx="928">
                  <c:v>-8.8462250875429529</c:v>
                </c:pt>
                <c:pt idx="929">
                  <c:v>-8.8585603589741702</c:v>
                </c:pt>
                <c:pt idx="930">
                  <c:v>-8.870895660488852</c:v>
                </c:pt>
                <c:pt idx="931">
                  <c:v>-8.8832309920865899</c:v>
                </c:pt>
                <c:pt idx="932">
                  <c:v>-8.8955663537669736</c:v>
                </c:pt>
                <c:pt idx="933">
                  <c:v>-8.9079017455295944</c:v>
                </c:pt>
                <c:pt idx="934">
                  <c:v>-8.9202371673740437</c:v>
                </c:pt>
                <c:pt idx="935">
                  <c:v>-8.9325726192999113</c:v>
                </c:pt>
                <c:pt idx="936">
                  <c:v>-8.9449081013067886</c:v>
                </c:pt>
                <c:pt idx="937">
                  <c:v>-8.9572436133942652</c:v>
                </c:pt>
                <c:pt idx="938">
                  <c:v>-8.9695791555619326</c:v>
                </c:pt>
                <c:pt idx="939">
                  <c:v>-8.9819147278093805</c:v>
                </c:pt>
                <c:pt idx="940">
                  <c:v>-8.9942503301362002</c:v>
                </c:pt>
                <c:pt idx="941">
                  <c:v>-9.0065859625419833</c:v>
                </c:pt>
                <c:pt idx="942">
                  <c:v>-9.0189216250263193</c:v>
                </c:pt>
                <c:pt idx="943">
                  <c:v>-9.0312573175887998</c:v>
                </c:pt>
                <c:pt idx="944">
                  <c:v>-9.0435930402290143</c:v>
                </c:pt>
                <c:pt idx="945">
                  <c:v>-9.0559287929465544</c:v>
                </c:pt>
                <c:pt idx="946">
                  <c:v>-9.0682645757410114</c:v>
                </c:pt>
                <c:pt idx="947">
                  <c:v>-9.080600388611975</c:v>
                </c:pt>
                <c:pt idx="948">
                  <c:v>-9.092936231559035</c:v>
                </c:pt>
                <c:pt idx="949">
                  <c:v>-9.1052721045817844</c:v>
                </c:pt>
                <c:pt idx="950">
                  <c:v>-9.1176080076798129</c:v>
                </c:pt>
                <c:pt idx="951">
                  <c:v>-9.1299439408527103</c:v>
                </c:pt>
                <c:pt idx="952">
                  <c:v>-9.142279904100068</c:v>
                </c:pt>
                <c:pt idx="953">
                  <c:v>-9.1546158974214773</c:v>
                </c:pt>
                <c:pt idx="954">
                  <c:v>-9.166951920816528</c:v>
                </c:pt>
                <c:pt idx="955">
                  <c:v>-9.1792879742848115</c:v>
                </c:pt>
                <c:pt idx="956">
                  <c:v>-9.1916240578259174</c:v>
                </c:pt>
                <c:pt idx="957">
                  <c:v>-9.203960171439439</c:v>
                </c:pt>
                <c:pt idx="958">
                  <c:v>-9.2162963151249642</c:v>
                </c:pt>
                <c:pt idx="959">
                  <c:v>-9.2286324888820861</c:v>
                </c:pt>
                <c:pt idx="960">
                  <c:v>-9.2409686927103944</c:v>
                </c:pt>
                <c:pt idx="961">
                  <c:v>-9.2533049266094789</c:v>
                </c:pt>
                <c:pt idx="962">
                  <c:v>-9.2656411905789309</c:v>
                </c:pt>
                <c:pt idx="963">
                  <c:v>-9.2779774846183418</c:v>
                </c:pt>
                <c:pt idx="964">
                  <c:v>-9.2903138087273014</c:v>
                </c:pt>
                <c:pt idx="965">
                  <c:v>-9.302650162905401</c:v>
                </c:pt>
                <c:pt idx="966">
                  <c:v>-9.3149865471522322</c:v>
                </c:pt>
                <c:pt idx="967">
                  <c:v>-9.3273229614673845</c:v>
                </c:pt>
                <c:pt idx="968">
                  <c:v>-9.3396594058504494</c:v>
                </c:pt>
                <c:pt idx="969">
                  <c:v>-9.3519958803010166</c:v>
                </c:pt>
                <c:pt idx="970">
                  <c:v>-9.3643323848186775</c:v>
                </c:pt>
                <c:pt idx="971">
                  <c:v>-9.3766689194030235</c:v>
                </c:pt>
                <c:pt idx="972">
                  <c:v>-9.3890054840536461</c:v>
                </c:pt>
                <c:pt idx="973">
                  <c:v>-9.4013420787701332</c:v>
                </c:pt>
                <c:pt idx="974">
                  <c:v>-9.4136787035520779</c:v>
                </c:pt>
                <c:pt idx="975">
                  <c:v>-9.42601535839907</c:v>
                </c:pt>
                <c:pt idx="976">
                  <c:v>-9.4383520433107009</c:v>
                </c:pt>
                <c:pt idx="977">
                  <c:v>-9.450688758286562</c:v>
                </c:pt>
                <c:pt idx="978">
                  <c:v>-9.4630255033262429</c:v>
                </c:pt>
                <c:pt idx="979">
                  <c:v>-9.4753622784293334</c:v>
                </c:pt>
                <c:pt idx="980">
                  <c:v>-9.4876990835954267</c:v>
                </c:pt>
                <c:pt idx="981">
                  <c:v>-9.5000359188241124</c:v>
                </c:pt>
                <c:pt idx="982">
                  <c:v>-9.5123727841149819</c:v>
                </c:pt>
                <c:pt idx="983">
                  <c:v>-9.5247096794676249</c:v>
                </c:pt>
                <c:pt idx="984">
                  <c:v>-9.5370466048816329</c:v>
                </c:pt>
                <c:pt idx="985">
                  <c:v>-9.5493835603565955</c:v>
                </c:pt>
                <c:pt idx="986">
                  <c:v>-9.561720545892106</c:v>
                </c:pt>
                <c:pt idx="987">
                  <c:v>-9.5740575614877539</c:v>
                </c:pt>
                <c:pt idx="988">
                  <c:v>-9.586394607143129</c:v>
                </c:pt>
                <c:pt idx="989">
                  <c:v>-9.5987316828578226</c:v>
                </c:pt>
                <c:pt idx="990">
                  <c:v>-9.6110687886314263</c:v>
                </c:pt>
                <c:pt idx="991">
                  <c:v>-9.6234059244635315</c:v>
                </c:pt>
                <c:pt idx="992">
                  <c:v>-9.6357430903537278</c:v>
                </c:pt>
                <c:pt idx="993">
                  <c:v>-9.6480802863016066</c:v>
                </c:pt>
                <c:pt idx="994">
                  <c:v>-9.6604175123067577</c:v>
                </c:pt>
                <c:pt idx="995">
                  <c:v>-9.6727547683687725</c:v>
                </c:pt>
                <c:pt idx="996">
                  <c:v>-9.6850920544872423</c:v>
                </c:pt>
                <c:pt idx="997">
                  <c:v>-9.6974293706617569</c:v>
                </c:pt>
                <c:pt idx="998">
                  <c:v>-9.7097667168919077</c:v>
                </c:pt>
                <c:pt idx="999">
                  <c:v>-9.7221040931772862</c:v>
                </c:pt>
                <c:pt idx="1000">
                  <c:v>-9.7344414995174837</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Pro54-5G WT</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0.01</c:v>
                </c:pt>
                <c:pt idx="2">
                  <c:v>0.02</c:v>
                </c:pt>
                <c:pt idx="3">
                  <c:v>0.05</c:v>
                </c:pt>
                <c:pt idx="4">
                  <c:v>0.1</c:v>
                </c:pt>
                <c:pt idx="5">
                  <c:v>0.2</c:v>
                </c:pt>
                <c:pt idx="6">
                  <c:v>0.4</c:v>
                </c:pt>
                <c:pt idx="7">
                  <c:v>0.8</c:v>
                </c:pt>
                <c:pt idx="8">
                  <c:v>0.9</c:v>
                </c:pt>
                <c:pt idx="9">
                  <c:v>1</c:v>
                </c:pt>
                <c:pt idx="10">
                  <c:v>1.1000000000000001</c:v>
                </c:pt>
                <c:pt idx="11">
                  <c:v>1.2</c:v>
                </c:pt>
                <c:pt idx="12">
                  <c:v>1.3</c:v>
                </c:pt>
                <c:pt idx="13">
                  <c:v>1.4</c:v>
                </c:pt>
                <c:pt idx="14">
                  <c:v>1.55</c:v>
                </c:pt>
                <c:pt idx="15">
                  <c:v>1.6</c:v>
                </c:pt>
                <c:pt idx="16">
                  <c:v>1.62</c:v>
                </c:pt>
                <c:pt idx="17">
                  <c:v>1.64</c:v>
                </c:pt>
                <c:pt idx="18">
                  <c:v>1.66</c:v>
                </c:pt>
                <c:pt idx="19">
                  <c:v>1.67</c:v>
                </c:pt>
                <c:pt idx="20">
                  <c:v>1.68</c:v>
                </c:pt>
                <c:pt idx="21">
                  <c:v>1.69</c:v>
                </c:pt>
                <c:pt idx="22">
                  <c:v>1.7</c:v>
                </c:pt>
              </c:numCache>
            </c:numRef>
          </c:xVal>
          <c:yVal>
            <c:numRef>
              <c:f>Propu!$B$4:$X$4</c:f>
              <c:numCache>
                <c:formatCode>General</c:formatCode>
                <c:ptCount val="23"/>
                <c:pt idx="0">
                  <c:v>0</c:v>
                </c:pt>
                <c:pt idx="1">
                  <c:v>492.25</c:v>
                </c:pt>
                <c:pt idx="2">
                  <c:v>1369.46</c:v>
                </c:pt>
                <c:pt idx="3">
                  <c:v>1236.01</c:v>
                </c:pt>
                <c:pt idx="4">
                  <c:v>1279.47</c:v>
                </c:pt>
                <c:pt idx="5">
                  <c:v>1311.39</c:v>
                </c:pt>
                <c:pt idx="6">
                  <c:v>1331.39</c:v>
                </c:pt>
                <c:pt idx="7">
                  <c:v>1304.08</c:v>
                </c:pt>
                <c:pt idx="8">
                  <c:v>1280.6199999999999</c:v>
                </c:pt>
                <c:pt idx="9">
                  <c:v>1249.8599999999999</c:v>
                </c:pt>
                <c:pt idx="10">
                  <c:v>1217.94</c:v>
                </c:pt>
                <c:pt idx="11">
                  <c:v>1199.29</c:v>
                </c:pt>
                <c:pt idx="12">
                  <c:v>1158.77</c:v>
                </c:pt>
                <c:pt idx="13">
                  <c:v>1112.56</c:v>
                </c:pt>
                <c:pt idx="14">
                  <c:v>941.81</c:v>
                </c:pt>
                <c:pt idx="15">
                  <c:v>726.07</c:v>
                </c:pt>
                <c:pt idx="16">
                  <c:v>559.16999999999996</c:v>
                </c:pt>
                <c:pt idx="17">
                  <c:v>399.95</c:v>
                </c:pt>
                <c:pt idx="18">
                  <c:v>317.66000000000003</c:v>
                </c:pt>
                <c:pt idx="19">
                  <c:v>247.28</c:v>
                </c:pt>
                <c:pt idx="20">
                  <c:v>198.05</c:v>
                </c:pt>
                <c:pt idx="21">
                  <c:v>67.3</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40"/>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2195"/>
</file>

<file path=xl/ctrlProps/ctrlProp12.xml><?xml version="1.0" encoding="utf-8"?>
<formControlPr xmlns="http://schemas.microsoft.com/office/spreadsheetml/2009/9/main" objectType="Spin" dx="15" fmlaLink="$C$12" inc="100" max="30000" noThreeD="1" page="10" val="7900"/>
</file>

<file path=xl/ctrlProps/ctrlProp13.xml><?xml version="1.0" encoding="utf-8"?>
<formControlPr xmlns="http://schemas.microsoft.com/office/spreadsheetml/2009/9/main" objectType="Spin" dx="15" fmlaLink="$C$12" inc="100" max="30000" noThreeD="1" page="10" val="7900"/>
</file>

<file path=xl/ctrlProps/ctrlProp14.xml><?xml version="1.0" encoding="utf-8"?>
<formControlPr xmlns="http://schemas.microsoft.com/office/spreadsheetml/2009/9/main" objectType="Spin" dx="15" fmlaLink="Stabilito!C12" inc="100" max="30000" noThreeD="1" page="10" val="7900"/>
</file>

<file path=xl/ctrlProps/ctrlProp15.xml><?xml version="1.0" encoding="utf-8"?>
<formControlPr xmlns="http://schemas.microsoft.com/office/spreadsheetml/2009/9/main" objectType="Spin" dx="15" fmlaLink="$B$44" inc="50" max="30000" noThreeD="1" page="10" val="249"/>
</file>

<file path=xl/ctrlProps/ctrlProp16.xml><?xml version="1.0" encoding="utf-8"?>
<formControlPr xmlns="http://schemas.microsoft.com/office/spreadsheetml/2009/9/main" objectType="Spin" dx="15" fmlaLink="$B$46" inc="50" max="30000" noThreeD="1" page="10" val="199"/>
</file>

<file path=xl/ctrlProps/ctrlProp17.xml><?xml version="1.0" encoding="utf-8"?>
<formControlPr xmlns="http://schemas.microsoft.com/office/spreadsheetml/2009/9/main" objectType="Spin" dx="15" fmlaLink="$B$52" inc="50" max="30000" noThreeD="1" page="10" val="800"/>
</file>

<file path=xl/ctrlProps/ctrlProp18.xml><?xml version="1.0" encoding="utf-8"?>
<formControlPr xmlns="http://schemas.microsoft.com/office/spreadsheetml/2009/9/main" objectType="Spin" dx="15" fmlaLink="$B$54" inc="5" max="30000" noThreeD="1" page="10" val="75"/>
</file>

<file path=xl/ctrlProps/ctrlProp19.xml><?xml version="1.0" encoding="utf-8"?>
<formControlPr xmlns="http://schemas.microsoft.com/office/spreadsheetml/2009/9/main" objectType="Spin" dx="15" fmlaLink="Stabilito!C12" inc="100" max="30000" noThreeD="1" page="10" val="7900"/>
</file>

<file path=xl/ctrlProps/ctrlProp2.xml><?xml version="1.0" encoding="utf-8"?>
<formControlPr xmlns="http://schemas.microsoft.com/office/spreadsheetml/2009/9/main" objectType="Spin" dx="15" fmlaLink="$C$12" inc="100" max="30000" noThreeD="1" page="10" val="7900"/>
</file>

<file path=xl/ctrlProps/ctrlProp20.xml><?xml version="1.0" encoding="utf-8"?>
<formControlPr xmlns="http://schemas.microsoft.com/office/spreadsheetml/2009/9/main" objectType="Spin" dx="15" fmlaLink="Stabilito!C12" inc="100" max="30000" noThreeD="1" page="10" val="7900"/>
</file>

<file path=xl/ctrlProps/ctrlProp3.xml><?xml version="1.0" encoding="utf-8"?>
<formControlPr xmlns="http://schemas.microsoft.com/office/spreadsheetml/2009/9/main" objectType="Spin" dx="15" fmlaLink="$C$13" inc="50" max="30000" noThreeD="1" page="10" val="1180"/>
</file>

<file path=xl/ctrlProps/ctrlProp4.xml><?xml version="1.0" encoding="utf-8"?>
<formControlPr xmlns="http://schemas.microsoft.com/office/spreadsheetml/2009/9/main" objectType="Spin" dx="15" fmlaLink="$C$24" inc="20" max="30000" noThreeD="1" page="10" val="90"/>
</file>

<file path=xl/ctrlProps/ctrlProp5.xml><?xml version="1.0" encoding="utf-8"?>
<formControlPr xmlns="http://schemas.microsoft.com/office/spreadsheetml/2009/9/main" objectType="Spin" dx="15" fmlaLink="$C$28" inc="10" max="30000" noThreeD="1" page="10" val="290"/>
</file>

<file path=xl/ctrlProps/ctrlProp6.xml><?xml version="1.0" encoding="utf-8"?>
<formControlPr xmlns="http://schemas.microsoft.com/office/spreadsheetml/2009/9/main" objectType="Spin" dx="15" fmlaLink="$C$29" inc="10" max="30000" noThreeD="1" page="10" val="150"/>
</file>

<file path=xl/ctrlProps/ctrlProp7.xml><?xml version="1.0" encoding="utf-8"?>
<formControlPr xmlns="http://schemas.microsoft.com/office/spreadsheetml/2009/9/main" objectType="Spin" dx="15" fmlaLink="$C$30" inc="10" max="30000" noThreeD="1" page="10" val="73"/>
</file>

<file path=xl/ctrlProps/ctrlProp8.xml><?xml version="1.0" encoding="utf-8"?>
<formControlPr xmlns="http://schemas.microsoft.com/office/spreadsheetml/2009/9/main" objectType="Spin" dx="15" fmlaLink="$C$31" inc="10" max="30000" noThreeD="1" page="10" val="125"/>
</file>

<file path=xl/ctrlProps/ctrlProp9.xml><?xml version="1.0" encoding="utf-8"?>
<formControlPr xmlns="http://schemas.microsoft.com/office/spreadsheetml/2009/9/main" objectType="Spin" dx="15" fmlaLink="$C$32" max="30000" noThreeD="1" page="10" val="2"/>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814129" y="183243"/>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2</xdr:col>
      <xdr:colOff>858520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751114</xdr:colOff>
          <xdr:row>22</xdr:row>
          <xdr:rowOff>0</xdr:rowOff>
        </xdr:from>
        <xdr:to>
          <xdr:col>3</xdr:col>
          <xdr:colOff>898071</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751114</xdr:colOff>
          <xdr:row>11</xdr:row>
          <xdr:rowOff>0</xdr:rowOff>
        </xdr:from>
        <xdr:to>
          <xdr:col>2</xdr:col>
          <xdr:colOff>898071</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751114</xdr:colOff>
          <xdr:row>12</xdr:row>
          <xdr:rowOff>0</xdr:rowOff>
        </xdr:from>
        <xdr:to>
          <xdr:col>2</xdr:col>
          <xdr:colOff>898071</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751114</xdr:colOff>
          <xdr:row>22</xdr:row>
          <xdr:rowOff>157843</xdr:rowOff>
        </xdr:from>
        <xdr:to>
          <xdr:col>3</xdr:col>
          <xdr:colOff>898071</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756557</xdr:colOff>
          <xdr:row>27</xdr:row>
          <xdr:rowOff>0</xdr:rowOff>
        </xdr:from>
        <xdr:to>
          <xdr:col>3</xdr:col>
          <xdr:colOff>0</xdr:colOff>
          <xdr:row>28</xdr:row>
          <xdr:rowOff>5443</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756557</xdr:colOff>
          <xdr:row>28</xdr:row>
          <xdr:rowOff>0</xdr:rowOff>
        </xdr:from>
        <xdr:to>
          <xdr:col>3</xdr:col>
          <xdr:colOff>0</xdr:colOff>
          <xdr:row>29</xdr:row>
          <xdr:rowOff>5443</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756557</xdr:colOff>
          <xdr:row>28</xdr:row>
          <xdr:rowOff>163286</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756557</xdr:colOff>
          <xdr:row>30</xdr:row>
          <xdr:rowOff>0</xdr:rowOff>
        </xdr:from>
        <xdr:to>
          <xdr:col>3</xdr:col>
          <xdr:colOff>0</xdr:colOff>
          <xdr:row>30</xdr:row>
          <xdr:rowOff>157843</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756557</xdr:colOff>
          <xdr:row>31</xdr:row>
          <xdr:rowOff>0</xdr:rowOff>
        </xdr:from>
        <xdr:to>
          <xdr:col>2</xdr:col>
          <xdr:colOff>898071</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756557</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756557</xdr:colOff>
          <xdr:row>12</xdr:row>
          <xdr:rowOff>157843</xdr:rowOff>
        </xdr:from>
        <xdr:to>
          <xdr:col>4</xdr:col>
          <xdr:colOff>0</xdr:colOff>
          <xdr:row>13</xdr:row>
          <xdr:rowOff>157843</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10886</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10886</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92777" y="7877868"/>
          <a:ext cx="1095578" cy="1022654"/>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157843</xdr:rowOff>
        </xdr:from>
        <xdr:to>
          <xdr:col>4</xdr:col>
          <xdr:colOff>0</xdr:colOff>
          <xdr:row>11</xdr:row>
          <xdr:rowOff>5443</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10886</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10886</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10886</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27214</xdr:colOff>
          <xdr:row>94</xdr:row>
          <xdr:rowOff>76200</xdr:rowOff>
        </xdr:from>
        <xdr:to>
          <xdr:col>3</xdr:col>
          <xdr:colOff>762000</xdr:colOff>
          <xdr:row>100</xdr:row>
          <xdr:rowOff>97971</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10886</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406465" y="6445250"/>
          <a:ext cx="1521791" cy="1142570"/>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10886</xdr:colOff>
          <xdr:row>1010</xdr:row>
          <xdr:rowOff>103414</xdr:rowOff>
        </xdr:from>
        <xdr:to>
          <xdr:col>20</xdr:col>
          <xdr:colOff>293914</xdr:colOff>
          <xdr:row>1013</xdr:row>
          <xdr:rowOff>27214</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27214</xdr:colOff>
          <xdr:row>1024</xdr:row>
          <xdr:rowOff>157843</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255814</xdr:colOff>
          <xdr:row>1006</xdr:row>
          <xdr:rowOff>27214</xdr:rowOff>
        </xdr:from>
        <xdr:to>
          <xdr:col>24</xdr:col>
          <xdr:colOff>152400</xdr:colOff>
          <xdr:row>1007</xdr:row>
          <xdr:rowOff>103414</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10886</xdr:colOff>
          <xdr:row>1017</xdr:row>
          <xdr:rowOff>163286</xdr:rowOff>
        </xdr:from>
        <xdr:to>
          <xdr:col>10</xdr:col>
          <xdr:colOff>582386</xdr:colOff>
          <xdr:row>1019</xdr:row>
          <xdr:rowOff>141514</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10886</xdr:colOff>
          <xdr:row>1014</xdr:row>
          <xdr:rowOff>179614</xdr:rowOff>
        </xdr:from>
        <xdr:to>
          <xdr:col>11</xdr:col>
          <xdr:colOff>266700</xdr:colOff>
          <xdr:row>1016</xdr:row>
          <xdr:rowOff>70757</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10886</xdr:colOff>
          <xdr:row>1016</xdr:row>
          <xdr:rowOff>76200</xdr:rowOff>
        </xdr:from>
        <xdr:to>
          <xdr:col>11</xdr:col>
          <xdr:colOff>234043</xdr:colOff>
          <xdr:row>1017</xdr:row>
          <xdr:rowOff>157843</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70757</xdr:rowOff>
        </xdr:from>
        <xdr:to>
          <xdr:col>17</xdr:col>
          <xdr:colOff>272143</xdr:colOff>
          <xdr:row>1024</xdr:row>
          <xdr:rowOff>163286</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234043</xdr:colOff>
          <xdr:row>1010</xdr:row>
          <xdr:rowOff>87086</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103414</xdr:rowOff>
        </xdr:from>
        <xdr:to>
          <xdr:col>12</xdr:col>
          <xdr:colOff>239486</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10886</xdr:colOff>
          <xdr:row>1006</xdr:row>
          <xdr:rowOff>103414</xdr:rowOff>
        </xdr:from>
        <xdr:to>
          <xdr:col>3</xdr:col>
          <xdr:colOff>538843</xdr:colOff>
          <xdr:row>1007</xdr:row>
          <xdr:rowOff>179614</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179614</xdr:rowOff>
        </xdr:from>
        <xdr:to>
          <xdr:col>16</xdr:col>
          <xdr:colOff>0</xdr:colOff>
          <xdr:row>1026</xdr:row>
          <xdr:rowOff>146957</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10886</xdr:colOff>
          <xdr:row>1013</xdr:row>
          <xdr:rowOff>32657</xdr:rowOff>
        </xdr:from>
        <xdr:to>
          <xdr:col>21</xdr:col>
          <xdr:colOff>27214</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10886</xdr:colOff>
          <xdr:row>1005</xdr:row>
          <xdr:rowOff>10886</xdr:rowOff>
        </xdr:from>
        <xdr:to>
          <xdr:col>10</xdr:col>
          <xdr:colOff>408214</xdr:colOff>
          <xdr:row>1006</xdr:row>
          <xdr:rowOff>87086</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10886</xdr:rowOff>
        </xdr:from>
        <xdr:to>
          <xdr:col>8</xdr:col>
          <xdr:colOff>190500</xdr:colOff>
          <xdr:row>1014</xdr:row>
          <xdr:rowOff>163286</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10886</xdr:colOff>
          <xdr:row>1018</xdr:row>
          <xdr:rowOff>48986</xdr:rowOff>
        </xdr:from>
        <xdr:to>
          <xdr:col>24</xdr:col>
          <xdr:colOff>1077686</xdr:colOff>
          <xdr:row>1019</xdr:row>
          <xdr:rowOff>141514</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146957</xdr:rowOff>
        </xdr:from>
        <xdr:to>
          <xdr:col>20</xdr:col>
          <xdr:colOff>576943</xdr:colOff>
          <xdr:row>1022</xdr:row>
          <xdr:rowOff>48986</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48986</xdr:rowOff>
        </xdr:from>
        <xdr:to>
          <xdr:col>19</xdr:col>
          <xdr:colOff>185057</xdr:colOff>
          <xdr:row>1019</xdr:row>
          <xdr:rowOff>141514</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10886</xdr:colOff>
          <xdr:row>1007</xdr:row>
          <xdr:rowOff>119743</xdr:rowOff>
        </xdr:from>
        <xdr:to>
          <xdr:col>37</xdr:col>
          <xdr:colOff>277586</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10886</xdr:colOff>
          <xdr:row>1010</xdr:row>
          <xdr:rowOff>87086</xdr:rowOff>
        </xdr:from>
        <xdr:to>
          <xdr:col>35</xdr:col>
          <xdr:colOff>723900</xdr:colOff>
          <xdr:row>1013</xdr:row>
          <xdr:rowOff>43543</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27214</xdr:rowOff>
        </xdr:from>
        <xdr:to>
          <xdr:col>11</xdr:col>
          <xdr:colOff>560614</xdr:colOff>
          <xdr:row>1038</xdr:row>
          <xdr:rowOff>27214</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27214</xdr:rowOff>
        </xdr:from>
        <xdr:to>
          <xdr:col>12</xdr:col>
          <xdr:colOff>32657</xdr:colOff>
          <xdr:row>1043</xdr:row>
          <xdr:rowOff>27214</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10886</xdr:colOff>
          <xdr:row>1014</xdr:row>
          <xdr:rowOff>119743</xdr:rowOff>
        </xdr:from>
        <xdr:to>
          <xdr:col>20</xdr:col>
          <xdr:colOff>337457</xdr:colOff>
          <xdr:row>1016</xdr:row>
          <xdr:rowOff>10886</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255814</xdr:colOff>
          <xdr:row>1007</xdr:row>
          <xdr:rowOff>114300</xdr:rowOff>
        </xdr:from>
        <xdr:to>
          <xdr:col>32</xdr:col>
          <xdr:colOff>163286</xdr:colOff>
          <xdr:row>1010</xdr:row>
          <xdr:rowOff>87086</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32657</xdr:rowOff>
        </xdr:from>
        <xdr:to>
          <xdr:col>12</xdr:col>
          <xdr:colOff>337457</xdr:colOff>
          <xdr:row>1058</xdr:row>
          <xdr:rowOff>48986</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32657</xdr:rowOff>
        </xdr:from>
        <xdr:to>
          <xdr:col>15</xdr:col>
          <xdr:colOff>48986</xdr:colOff>
          <xdr:row>1063</xdr:row>
          <xdr:rowOff>48986</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32657</xdr:rowOff>
        </xdr:from>
        <xdr:to>
          <xdr:col>16</xdr:col>
          <xdr:colOff>674914</xdr:colOff>
          <xdr:row>1068</xdr:row>
          <xdr:rowOff>48986</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32657</xdr:rowOff>
        </xdr:from>
        <xdr:to>
          <xdr:col>16</xdr:col>
          <xdr:colOff>108857</xdr:colOff>
          <xdr:row>1048</xdr:row>
          <xdr:rowOff>32657</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32657</xdr:rowOff>
        </xdr:from>
        <xdr:to>
          <xdr:col>16</xdr:col>
          <xdr:colOff>386443</xdr:colOff>
          <xdr:row>1053</xdr:row>
          <xdr:rowOff>48986</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32657</xdr:rowOff>
        </xdr:from>
        <xdr:to>
          <xdr:col>12</xdr:col>
          <xdr:colOff>413657</xdr:colOff>
          <xdr:row>1073</xdr:row>
          <xdr:rowOff>48986</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32657</xdr:rowOff>
        </xdr:from>
        <xdr:to>
          <xdr:col>32</xdr:col>
          <xdr:colOff>419100</xdr:colOff>
          <xdr:row>1056</xdr:row>
          <xdr:rowOff>32657</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27214</xdr:colOff>
          <xdr:row>1022</xdr:row>
          <xdr:rowOff>48986</xdr:rowOff>
        </xdr:from>
        <xdr:to>
          <xdr:col>32</xdr:col>
          <xdr:colOff>266700</xdr:colOff>
          <xdr:row>1024</xdr:row>
          <xdr:rowOff>141514</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27214</xdr:rowOff>
        </xdr:from>
        <xdr:to>
          <xdr:col>36</xdr:col>
          <xdr:colOff>163286</xdr:colOff>
          <xdr:row>1020</xdr:row>
          <xdr:rowOff>27214</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696686</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43543</xdr:rowOff>
        </xdr:from>
        <xdr:to>
          <xdr:col>35</xdr:col>
          <xdr:colOff>141514</xdr:colOff>
          <xdr:row>1023</xdr:row>
          <xdr:rowOff>43543</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70757</xdr:rowOff>
        </xdr:from>
        <xdr:to>
          <xdr:col>36</xdr:col>
          <xdr:colOff>48986</xdr:colOff>
          <xdr:row>1026</xdr:row>
          <xdr:rowOff>70757</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32657</xdr:rowOff>
        </xdr:from>
        <xdr:to>
          <xdr:col>34</xdr:col>
          <xdr:colOff>348343</xdr:colOff>
          <xdr:row>1051</xdr:row>
          <xdr:rowOff>87086</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653143</xdr:colOff>
          <xdr:row>9</xdr:row>
          <xdr:rowOff>195943</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386443</xdr:colOff>
          <xdr:row>70</xdr:row>
          <xdr:rowOff>27214</xdr:rowOff>
        </xdr:from>
        <xdr:to>
          <xdr:col>12</xdr:col>
          <xdr:colOff>903514</xdr:colOff>
          <xdr:row>87</xdr:row>
          <xdr:rowOff>10886</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653143</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396921" y="12830629"/>
          <a:ext cx="2297793" cy="3622221"/>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3813064" y="175986"/>
          <a:ext cx="2216150" cy="497658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abSelected="1" topLeftCell="B5" zoomScaleNormal="100" zoomScaleSheetLayoutView="100" workbookViewId="0">
      <selection activeCell="C16" sqref="C16"/>
    </sheetView>
  </sheetViews>
  <sheetFormatPr defaultColWidth="11.3828125" defaultRowHeight="12.45" x14ac:dyDescent="0.3"/>
  <cols>
    <col min="1" max="1" width="2.15234375" style="24" customWidth="1"/>
    <col min="2" max="2" width="16.15234375" style="24" customWidth="1"/>
    <col min="3" max="3" width="12.84375" style="31" customWidth="1"/>
    <col min="4" max="4" width="12.84375" style="24" customWidth="1"/>
    <col min="5" max="5" width="4.15234375" style="89" customWidth="1"/>
    <col min="6" max="6" width="10.15234375" style="26" bestFit="1" customWidth="1"/>
    <col min="7" max="7" width="10" style="26" bestFit="1" customWidth="1"/>
    <col min="8" max="9" width="8.61328125" style="26" customWidth="1"/>
    <col min="10" max="10" width="5.3828125" style="24" customWidth="1"/>
    <col min="11" max="11" width="2.15234375" style="24" customWidth="1"/>
    <col min="12" max="12" width="17" style="24" customWidth="1"/>
    <col min="13" max="13" width="8.61328125" style="24" customWidth="1"/>
    <col min="14" max="15" width="4.15234375" style="24" customWidth="1"/>
    <col min="16" max="16" width="8.61328125" style="24" customWidth="1"/>
    <col min="17" max="18" width="2.15234375" style="24" customWidth="1"/>
    <col min="19" max="16384" width="11.3828125" style="24"/>
  </cols>
  <sheetData>
    <row r="1" spans="1:20" ht="12.75" customHeight="1" x14ac:dyDescent="0.3">
      <c r="A1" s="19"/>
      <c r="B1" s="20"/>
      <c r="C1" s="21"/>
      <c r="D1" s="20"/>
      <c r="E1" s="88"/>
      <c r="F1" s="22"/>
      <c r="G1" s="22"/>
      <c r="H1" s="22"/>
      <c r="I1" s="22"/>
      <c r="J1" s="20"/>
      <c r="K1" s="20"/>
      <c r="L1" s="20"/>
      <c r="M1" s="20"/>
      <c r="N1" s="20"/>
      <c r="O1" s="20"/>
      <c r="P1" s="20"/>
      <c r="Q1" s="23"/>
    </row>
    <row r="2" spans="1:20" ht="12.75" customHeight="1" x14ac:dyDescent="0.3">
      <c r="A2" s="25"/>
      <c r="C2" s="568" t="s">
        <v>53</v>
      </c>
      <c r="D2" s="568"/>
      <c r="L2" s="147" t="str">
        <f>"Language/Langue"</f>
        <v>Language/Langue</v>
      </c>
      <c r="M2" s="544" t="s">
        <v>1</v>
      </c>
      <c r="N2" s="544"/>
      <c r="O2" s="544"/>
      <c r="P2" s="545"/>
      <c r="Q2" s="27"/>
    </row>
    <row r="3" spans="1:20" ht="12.75" customHeight="1" x14ac:dyDescent="0.3">
      <c r="A3" s="25"/>
      <c r="C3" s="568"/>
      <c r="D3" s="568"/>
      <c r="L3" s="555"/>
      <c r="M3" s="555"/>
      <c r="N3" s="45"/>
      <c r="Q3" s="27"/>
    </row>
    <row r="4" spans="1:20" ht="12.75" customHeight="1" x14ac:dyDescent="0.3">
      <c r="A4" s="25"/>
      <c r="C4" s="569" t="str">
        <f>IF(Lang="Français","Stabilité de fusée à ailerons",IF(Lang="English","Stability for rocket with fins",""))</f>
        <v>Stabilité de fusée à ailerons</v>
      </c>
      <c r="D4" s="569"/>
      <c r="L4" s="33"/>
      <c r="M4" s="544" t="s">
        <v>570</v>
      </c>
      <c r="N4" s="544"/>
      <c r="O4" s="544"/>
      <c r="P4" s="545"/>
      <c r="Q4" s="27"/>
    </row>
    <row r="5" spans="1:20" ht="12.75" customHeight="1" x14ac:dyDescent="0.35">
      <c r="A5" s="25"/>
      <c r="B5" s="28"/>
      <c r="C5" s="583"/>
      <c r="D5" s="583"/>
      <c r="L5" s="33"/>
      <c r="M5" s="575" t="s">
        <v>156</v>
      </c>
      <c r="N5" s="576"/>
      <c r="O5" s="558" t="s">
        <v>157</v>
      </c>
      <c r="P5" s="558"/>
      <c r="Q5" s="29"/>
    </row>
    <row r="6" spans="1:20" ht="12.75" customHeight="1" thickBot="1" x14ac:dyDescent="0.35">
      <c r="A6" s="25"/>
      <c r="B6" s="87"/>
      <c r="C6" s="593" t="str">
        <f>IF(Lang="Français","Remplir les cases jaunes",IF(Lang="English","Fill-in yellow cells only",""))</f>
        <v>Remplir les cases jaunes</v>
      </c>
      <c r="D6" s="593"/>
      <c r="L6" s="139" t="str">
        <f>IF(Lang="Français","Longueur      'L'",IF(Lang="English","Length      'L'",""))</f>
        <v>Longueur      'L'</v>
      </c>
      <c r="M6" s="564">
        <v>188</v>
      </c>
      <c r="N6" s="565"/>
      <c r="O6" s="550">
        <v>50</v>
      </c>
      <c r="P6" s="550"/>
      <c r="Q6" s="29"/>
    </row>
    <row r="7" spans="1:20" ht="12.75" customHeight="1" thickTop="1" thickBot="1" x14ac:dyDescent="0.35">
      <c r="A7" s="25"/>
      <c r="B7" s="31"/>
      <c r="C7" s="571" t="str">
        <f>IF(Lang="Français","Fusée",IF(Lang="English","Rocket",""))</f>
        <v>Fusée</v>
      </c>
      <c r="D7" s="572"/>
      <c r="L7" s="139" t="str">
        <f>IF(Lang="Français","Diamètre     'D1'",IF(Lang="English","Diameter 'D1'",""))</f>
        <v>Diamètre     'D1'</v>
      </c>
      <c r="M7" s="564">
        <f>D_og</f>
        <v>90</v>
      </c>
      <c r="N7" s="565"/>
      <c r="O7" s="550">
        <f>D2j</f>
        <v>100</v>
      </c>
      <c r="P7" s="550"/>
      <c r="Q7" s="29"/>
    </row>
    <row r="8" spans="1:20" ht="12.75" customHeight="1" thickTop="1" x14ac:dyDescent="0.3">
      <c r="A8" s="25"/>
      <c r="B8" s="138" t="str">
        <f>IF(Lang="Français","Nom",IF(Lang="English","Name",""))</f>
        <v>Nom</v>
      </c>
      <c r="C8" s="594" t="s">
        <v>566</v>
      </c>
      <c r="D8" s="594"/>
      <c r="E8" s="90"/>
      <c r="K8" s="33"/>
      <c r="L8" s="139" t="str">
        <f>IF(Lang="Français","Diamètre     'D2'",IF(Lang="English","Diameter 'D2'",""))</f>
        <v>Diamètre     'D2'</v>
      </c>
      <c r="M8" s="564">
        <v>100</v>
      </c>
      <c r="N8" s="565"/>
      <c r="O8" s="550">
        <v>100</v>
      </c>
      <c r="P8" s="550"/>
      <c r="Q8" s="29"/>
    </row>
    <row r="9" spans="1:20" ht="12.75" customHeight="1" x14ac:dyDescent="0.3">
      <c r="A9" s="25"/>
      <c r="B9" s="138" t="s">
        <v>4</v>
      </c>
      <c r="C9" s="595" t="s">
        <v>567</v>
      </c>
      <c r="D9" s="595"/>
      <c r="E9" s="90"/>
      <c r="K9" s="33"/>
      <c r="L9" s="139" t="str">
        <f>IF(Lang="Français","Implantation 'x'",IF(Lang="English","Basement 'x'",""))</f>
        <v>Implantation 'x'</v>
      </c>
      <c r="M9" s="564">
        <v>40</v>
      </c>
      <c r="N9" s="565"/>
      <c r="O9" s="550">
        <v>500</v>
      </c>
      <c r="P9" s="550"/>
      <c r="Q9" s="29"/>
    </row>
    <row r="10" spans="1:20" ht="12.75" customHeight="1" x14ac:dyDescent="0.3">
      <c r="A10" s="25"/>
      <c r="B10" s="138" t="s">
        <v>561</v>
      </c>
      <c r="C10" s="537" t="str">
        <f>IF((LEFT(Type_fusee,4)="Mini"),"MF",(IF((RIGHT(Type_fusee,1)="."),"FX","")))</f>
        <v>FX</v>
      </c>
      <c r="D10" s="538">
        <v>10</v>
      </c>
      <c r="E10" s="539" t="str">
        <f>IF(C10="","",C10&amp;D10)</f>
        <v>FX10</v>
      </c>
      <c r="K10" s="33"/>
      <c r="Q10" s="29"/>
    </row>
    <row r="11" spans="1:20" ht="12.75" customHeight="1" x14ac:dyDescent="0.3">
      <c r="A11" s="25"/>
      <c r="B11" s="139" t="s">
        <v>54</v>
      </c>
      <c r="C11" s="573" t="s">
        <v>568</v>
      </c>
      <c r="D11" s="574"/>
      <c r="E11" s="90"/>
      <c r="K11" s="33"/>
      <c r="L11" s="107"/>
      <c r="M11" s="224" t="str">
        <f>IF(Lang="Français","Propu plein",IF(Lang="English","Loaded Motor",""))</f>
        <v>Propu plein</v>
      </c>
      <c r="N11" s="556" t="str">
        <f>IF(Lang="Français","Propu vide",IF(Lang="English","Empty Motor",""))</f>
        <v>Propu vide</v>
      </c>
      <c r="O11" s="557"/>
      <c r="P11" s="224" t="str">
        <f>IF(Lang="Français","Sans propu",IF(Lang="English","Without M",""))</f>
        <v>Sans propu</v>
      </c>
      <c r="Q11" s="29"/>
      <c r="S11" s="385"/>
      <c r="T11" s="386" t="str">
        <f>IF(Lang="Français","Propulseur",IF(Lang="English","Motor",""))</f>
        <v>Propulseur</v>
      </c>
    </row>
    <row r="12" spans="1:20" ht="12.75" customHeight="1" x14ac:dyDescent="0.3">
      <c r="A12" s="25"/>
      <c r="B12" s="139" t="str">
        <f>IF(Lang="Français","Masse",IF(Lang="English","Weight",""))</f>
        <v>Masse</v>
      </c>
      <c r="C12" s="222">
        <v>7900</v>
      </c>
      <c r="D12" s="34" t="s">
        <v>421</v>
      </c>
      <c r="L12" s="108" t="str">
        <f>IF(Lang="Français","Masse propu",IF(Lang="English","Motor Mass",""))</f>
        <v>Masse propu</v>
      </c>
      <c r="M12" s="109">
        <f ca="1">MpropuPlein</f>
        <v>1.6319999999999999</v>
      </c>
      <c r="N12" s="548">
        <f ca="1">MpropuVide</f>
        <v>0.65</v>
      </c>
      <c r="O12" s="549"/>
      <c r="P12" s="110" t="s">
        <v>14</v>
      </c>
      <c r="Q12" s="29"/>
      <c r="S12" s="386" t="str">
        <f>IF(Lang="Français","Haut",IF(Lang="English","Top",""))</f>
        <v>Haut</v>
      </c>
      <c r="T12" s="387">
        <f ca="1">XpropuRef-Long_propu</f>
        <v>1716</v>
      </c>
    </row>
    <row r="13" spans="1:20" ht="12.75" customHeight="1" x14ac:dyDescent="0.3">
      <c r="A13" s="25"/>
      <c r="B13" s="139" t="str">
        <f>IF(Lang="Français","Centre de Masse",IF(Lang="English","Center of Mass",""))</f>
        <v>Centre de Masse</v>
      </c>
      <c r="C13" s="35">
        <v>1180</v>
      </c>
      <c r="D13" s="34" t="s">
        <v>421</v>
      </c>
      <c r="L13" s="108" t="str">
        <f>IF(Lang="Français","CdM propu",IF(Lang="English","Motor CoM",""))</f>
        <v>CdM propu</v>
      </c>
      <c r="M13" s="111">
        <f ca="1">XpropuPlein</f>
        <v>250</v>
      </c>
      <c r="N13" s="546">
        <f ca="1">XpropuVide</f>
        <v>240</v>
      </c>
      <c r="O13" s="547"/>
      <c r="P13" s="110" t="s">
        <v>14</v>
      </c>
      <c r="Q13" s="29"/>
      <c r="S13" s="386" t="str">
        <f>IF(Lang="Français","Longueur",IF(Lang="English","Length",""))</f>
        <v>Longueur</v>
      </c>
      <c r="T13" s="387">
        <f ca="1">Long_propu</f>
        <v>488</v>
      </c>
    </row>
    <row r="14" spans="1:20" ht="12.55" customHeight="1" x14ac:dyDescent="0.3">
      <c r="A14" s="25"/>
      <c r="B14" s="139" t="str">
        <f>IF(Lang="Français","Longueur totale",IF(Lang="English","Total length",""))</f>
        <v>Longueur totale</v>
      </c>
      <c r="C14" s="564">
        <v>2195</v>
      </c>
      <c r="D14" s="565"/>
      <c r="L14" s="108" t="str">
        <f>IF(Lang="Français","Masse fusée",IF(Lang="English","Rocket Mass",""))</f>
        <v>Masse fusée</v>
      </c>
      <c r="M14" s="112">
        <f ca="1">MasseSans+MpropuPlein</f>
        <v>9.532</v>
      </c>
      <c r="N14" s="577">
        <f ca="1">MasseSans+MpropuVide</f>
        <v>8.5500000000000007</v>
      </c>
      <c r="O14" s="578"/>
      <c r="P14" s="109">
        <f>IF(OR(D12="sans propu",D12="without motor"),C12/1000,IF(OR(D12="avec propu vide",D12="with empty motor"),C12/1000-MpropuVide,IF(OR(D12="avec propu plein",D12="with loaded motor"),C12/1000-MpropuPlein,"Erreur")))</f>
        <v>7.9</v>
      </c>
      <c r="Q14" s="29"/>
      <c r="S14" s="386" t="str">
        <f>IF(Lang="Français","Bas",IF(Lang="English","Base",""))</f>
        <v>Bas</v>
      </c>
      <c r="T14" s="387">
        <f>XpropuRef</f>
        <v>2204</v>
      </c>
    </row>
    <row r="15" spans="1:20" ht="12.75" customHeight="1" x14ac:dyDescent="0.3">
      <c r="A15" s="25"/>
      <c r="B15" s="139" t="str">
        <f>IF(Lang="Français","Diamètre Réf.",IF(Lang="English","Ref. Diameter",""))</f>
        <v>Diamètre Réf.</v>
      </c>
      <c r="C15" s="564">
        <v>100</v>
      </c>
      <c r="D15" s="565"/>
      <c r="L15" s="175" t="str">
        <f>IF(Lang="Français","CdM fusée",IF(Lang="English","Rocket CoM",""))</f>
        <v>CdM fusée</v>
      </c>
      <c r="M15" s="176">
        <f ca="1">(XcgSans*MasseSans+(XpropuRef-Long_propu+XpropuPlein)*MpropuPlein)/MassePlein</f>
        <v>1314.5732270247586</v>
      </c>
      <c r="N15" s="579">
        <f ca="1">(XcgSans*MasseSans+(XpropuRef-Long_propu+XpropuVide)*MpropuVide)/MasseVide</f>
        <v>1238.9941520467835</v>
      </c>
      <c r="O15" s="580"/>
      <c r="P15" s="113">
        <f>IF(OR(D13="sans propu",D13="without motor"),C13,IF(OR(D13="avec propu vide",D13="with empty motor"),(C13*MasseVide-(XpropuRef-Long_propu+XpropuVide)*MpropuVide)/MasseSans,IF(OR(D13="avec propu plein",D13="with loaded motor"),(C13*MassePlein-(XpropuRef-Long_propu+XpropuPlein)*MpropuPlein)/MasseSans,"Erreur")))</f>
        <v>1180</v>
      </c>
      <c r="Q15" s="29"/>
    </row>
    <row r="16" spans="1:20" ht="12.75" customHeight="1" thickBot="1" x14ac:dyDescent="0.35">
      <c r="A16" s="25"/>
      <c r="D16" s="31"/>
      <c r="L16" s="94"/>
      <c r="M16" s="94"/>
      <c r="N16" s="94"/>
      <c r="O16" s="94"/>
      <c r="P16" s="94"/>
      <c r="Q16" s="29"/>
      <c r="S16" s="385"/>
      <c r="T16" s="386" t="str">
        <f>IF(RIGHT(Type_masquage,1)=",",IF(Lang="Français","Ailerons","Fins"),IF(Lang="Français","Ailerons bas","Lower Fins"))</f>
        <v>Ailerons bas</v>
      </c>
    </row>
    <row r="17" spans="1:20" ht="12.75" customHeight="1" thickTop="1" thickBot="1" x14ac:dyDescent="0.35">
      <c r="A17" s="25"/>
      <c r="C17" s="585" t="str">
        <f>IF(Lang="Français","Propulseur",IF(Lang="English","Motor",""))</f>
        <v>Propulseur</v>
      </c>
      <c r="D17" s="586"/>
      <c r="L17" s="114"/>
      <c r="M17" s="581" t="s">
        <v>55</v>
      </c>
      <c r="N17" s="582"/>
      <c r="O17" s="559" t="s">
        <v>65</v>
      </c>
      <c r="P17" s="559"/>
      <c r="Q17" s="29"/>
      <c r="S17" s="386" t="str">
        <f>IF(Lang="Français","Haut","Top")</f>
        <v>Haut</v>
      </c>
      <c r="T17" s="387">
        <f>X_ail-m_ail</f>
        <v>1905</v>
      </c>
    </row>
    <row r="18" spans="1:20" ht="12.75" customHeight="1" thickTop="1" x14ac:dyDescent="0.3">
      <c r="A18" s="25"/>
      <c r="B18" s="139" t="s">
        <v>54</v>
      </c>
      <c r="C18" s="587" t="s">
        <v>550</v>
      </c>
      <c r="D18" s="588"/>
      <c r="K18" s="37"/>
      <c r="L18" s="108" t="str">
        <f>IF(Lang="Français","Coiffe",IF(Lang="English","Nose Cone",""))</f>
        <v>Coiffe</v>
      </c>
      <c r="M18" s="553">
        <f>IF(LEFT(Forme_ogive,5)="Parab",1/2*Long_ogive,IF(LEFT(Forme_ogive,4)="Ogiv",7/15*Long_ogive,IF(LEFT(Forme_ogive,3)="Con",2/3*Long_ogive)))</f>
        <v>20</v>
      </c>
      <c r="N18" s="554"/>
      <c r="O18" s="560">
        <f>2*POWER(D_og/D_ref, 2)</f>
        <v>1.62</v>
      </c>
      <c r="P18" s="560"/>
      <c r="Q18" s="29"/>
      <c r="S18" s="386" t="str">
        <f>IF(Lang="Français","Emplanture","Root edge")</f>
        <v>Emplanture</v>
      </c>
      <c r="T18" s="387">
        <f>m_ail</f>
        <v>290</v>
      </c>
    </row>
    <row r="19" spans="1:20" ht="12.75" customHeight="1" x14ac:dyDescent="0.3">
      <c r="A19" s="25"/>
      <c r="B19" s="139" t="str">
        <f>IF(Lang="Français","Position du bas",IF(Lang="English","Basement",""))</f>
        <v>Position du bas</v>
      </c>
      <c r="C19" s="550">
        <v>2204</v>
      </c>
      <c r="D19" s="550"/>
      <c r="L19" s="108" t="str">
        <f>IF(Lang="Français","Ailerons",IF(Lang="English","Fins",""))</f>
        <v>Ailerons</v>
      </c>
      <c r="M19" s="553">
        <f>(XCpa*Cnail-0.5*XCpi*Cni)/Cnai</f>
        <v>1994.4848484848485</v>
      </c>
      <c r="N19" s="554"/>
      <c r="O19" s="589">
        <f>Cnail-Cni/2</f>
        <v>14.948604812047884</v>
      </c>
      <c r="P19" s="590"/>
      <c r="Q19" s="29"/>
      <c r="S19" s="386" t="str">
        <f>IF(Lang="Français","Bas","Base")</f>
        <v>Bas</v>
      </c>
      <c r="T19" s="387">
        <f>X_ail</f>
        <v>2195</v>
      </c>
    </row>
    <row r="20" spans="1:20" ht="12.75" customHeight="1" thickBot="1" x14ac:dyDescent="0.35">
      <c r="A20" s="25"/>
      <c r="B20" s="428" t="str">
        <f>IF(Propu="Cariacou","Cariacou :"," ")</f>
        <v xml:space="preserve"> </v>
      </c>
      <c r="C20" s="563" t="str">
        <f>IF(Propu="Pandora (Pro24-6G)",IF(Lang="Français","C'Space Seulement",IF(Lang="English","C'Space only","")),"")</f>
        <v/>
      </c>
      <c r="D20" s="563"/>
      <c r="L20" s="108" t="str">
        <f>IF(Lang="Français","Ail bas entier",IF(Lang="English","Total Lower Fins",""))</f>
        <v>Ail bas entier</v>
      </c>
      <c r="M20" s="553">
        <f>X_ail-m_ail+p_ail*(m_ail+2*n_ail)/(3*(m_ail+n_ail))+(m_ail+n_ail-m_ail*n_ail/(m_ail+n_ail))/6</f>
        <v>1994.4848484848485</v>
      </c>
      <c r="N20" s="554"/>
      <c r="O20" s="560">
        <f>4*Q_ail*POWER((E_ail/D_ref),2)*(1+D_ail/(2*E_ail+D_ail))/(1+SQRT(1+POWER(2*f_ail/(m_ail+n_ail),2)))</f>
        <v>14.948604812047884</v>
      </c>
      <c r="P20" s="560"/>
      <c r="Q20" s="29"/>
    </row>
    <row r="21" spans="1:20" ht="12.75" customHeight="1" thickTop="1" thickBot="1" x14ac:dyDescent="0.35">
      <c r="A21" s="25"/>
      <c r="B21" s="30"/>
      <c r="C21" s="591" t="str">
        <f>IF(Lang="Français","Coiffe",IF(Lang="English","Nose Cone",""))</f>
        <v>Coiffe</v>
      </c>
      <c r="D21" s="592"/>
      <c r="L21" s="108" t="str">
        <f>IF(Lang="Français","Ailerons haut",IF(Lang="English","Upper Fins",""))</f>
        <v>Ailerons haut</v>
      </c>
      <c r="M21" s="553">
        <f>IF(LEFT(Type_masquage,1)="M",0, X_can-m_can+p_can*(m_can+2*n_can)/(3*(m_can+n_can))+(m_can+n_can-m_can*n_can/(m_can+n_can))/6)</f>
        <v>0</v>
      </c>
      <c r="N21" s="554"/>
      <c r="O21" s="560">
        <f>IF(LEFT(Type_masquage,1)="M",0, 4*Q_can*POWER((E_can/D_ref),2)*(1+D_can/(2*E_can+D_can))/(1+SQRT(1+POWER(2*f_can/(m_can+n_can),2))))</f>
        <v>0</v>
      </c>
      <c r="P21" s="560"/>
      <c r="Q21" s="29"/>
    </row>
    <row r="22" spans="1:20" ht="12.75" customHeight="1" thickTop="1" x14ac:dyDescent="0.3">
      <c r="A22" s="25"/>
      <c r="B22" s="139" t="str">
        <f>IF(Lang="Français","Forme",IF(Lang="English","Shape",""))</f>
        <v>Forme</v>
      </c>
      <c r="C22" s="566" t="s">
        <v>569</v>
      </c>
      <c r="D22" s="567"/>
      <c r="L22" s="108" t="str">
        <f>IF(Lang="Français","Partie masquée",IF(Lang="English","Interation zone",""))</f>
        <v>Partie masquée</v>
      </c>
      <c r="M22" s="570">
        <f>IF(LEFT(Type_masquage,1)="B", X_int-m_int+p_int*(m_int+2*n_int)/(3*(m_int+n_int))+(m_int+n_int-m_int*n_int/(m_int+n_int))/6, 0 )</f>
        <v>0</v>
      </c>
      <c r="N22" s="570"/>
      <c r="O22" s="589">
        <f>IF(LEFT(Type_masquage,1)="B", 4*Q_int*POWER((E_int/D_ref),2)*(1+D_int/(2*E_int+D_int))/(1+SQRT(1+POWER(2*f_int/(m_int+n_int),2))), 0 )</f>
        <v>0</v>
      </c>
      <c r="P22" s="590"/>
      <c r="Q22" s="29"/>
    </row>
    <row r="23" spans="1:20" ht="12.75" customHeight="1" x14ac:dyDescent="0.3">
      <c r="A23" s="25"/>
      <c r="B23" s="139" t="str">
        <f>IF(Lang="Français","Hauteur",IF(Lang="English","Heigth",""))</f>
        <v>Hauteur</v>
      </c>
      <c r="C23" s="564">
        <v>40</v>
      </c>
      <c r="D23" s="565"/>
      <c r="L23" s="108" t="s">
        <v>156</v>
      </c>
      <c r="M23" s="553">
        <f>IF(OR(RIGHT(Nb_diam,1)=",",D2j=0),0, X_j+l_j/3*(1+1/(1+D1j/D2j)) )</f>
        <v>135.64912280701753</v>
      </c>
      <c r="N23" s="554"/>
      <c r="O23" s="560">
        <f>IF(OR(RIGHT(Nb_diam,1)=",",D2j=0),0,2*(POWER(D2j/D_ref,2)-POWER(D1j/D_ref,2)))</f>
        <v>0.37999999999999989</v>
      </c>
      <c r="P23" s="560"/>
      <c r="Q23" s="29"/>
    </row>
    <row r="24" spans="1:20" ht="12.75" customHeight="1" thickBot="1" x14ac:dyDescent="0.35">
      <c r="A24" s="25"/>
      <c r="B24" s="139" t="str">
        <f>IF(Lang="Français","Diamètre",IF(Lang="English","Diameter",""))</f>
        <v>Diamètre</v>
      </c>
      <c r="C24" s="564">
        <v>90</v>
      </c>
      <c r="D24" s="565"/>
      <c r="L24" s="108" t="s">
        <v>157</v>
      </c>
      <c r="M24" s="553">
        <f>IF( OR(RIGHT(Nb_diam,1)=",",D2r=0), 0, X_r+l_r/3*(1+1/(1+D1r/D2r)) )</f>
        <v>525</v>
      </c>
      <c r="N24" s="554"/>
      <c r="O24" s="560">
        <f>IF( OR(RIGHT(Nb_diam,1)=",",D2r=0), 0, 2*(POWER(D2r/D_ref,2)-POWER(D1r/D_ref,2)) )</f>
        <v>0</v>
      </c>
      <c r="P24" s="560"/>
      <c r="Q24" s="29"/>
    </row>
    <row r="25" spans="1:20" ht="12.75" customHeight="1" thickBot="1" x14ac:dyDescent="0.35">
      <c r="A25" s="25"/>
      <c r="E25" s="180" t="s">
        <v>151</v>
      </c>
      <c r="L25" s="38"/>
      <c r="M25" s="38"/>
      <c r="N25" s="38"/>
      <c r="Q25" s="29"/>
      <c r="R25" s="38"/>
      <c r="S25" s="388" t="str">
        <f ca="1">IF(AND(Portee_balistique&gt;200,LEFT(Type_propu,3)="Min"),IF(Lang="Français","Fusée trop lègère !","Rocket too light"),"")</f>
        <v/>
      </c>
    </row>
    <row r="26" spans="1:20" ht="12.75" customHeight="1" thickTop="1" thickBot="1" x14ac:dyDescent="0.35">
      <c r="A26" s="25"/>
      <c r="B26" s="30"/>
      <c r="C26" s="178" t="str">
        <f>IF(LEFT(Type_masquage,1)="M",IF(Lang="Français","Ailerons","Fins"),IF(Lang="Français","Ailerons bas","Lower Fins"))</f>
        <v>Ailerons</v>
      </c>
      <c r="D26" s="179" t="str">
        <f>IF(Lang="Français","Ailerons haut",IF(Lang="English","Upper Fins",""))</f>
        <v>Ailerons haut</v>
      </c>
      <c r="F26" s="39">
        <f ca="1">TODAY()</f>
        <v>45458</v>
      </c>
      <c r="G26" s="137" t="s">
        <v>62</v>
      </c>
      <c r="H26" s="584" t="str">
        <f>IF(Lang="Français","Résultats",IF(Lang="English","Results",""))</f>
        <v>Résultats</v>
      </c>
      <c r="I26" s="584"/>
      <c r="J26" s="137" t="s">
        <v>63</v>
      </c>
      <c r="K26" s="32"/>
      <c r="L26" s="38"/>
      <c r="M26" s="38"/>
      <c r="N26" s="38"/>
      <c r="Q26" s="29"/>
      <c r="R26" s="38"/>
      <c r="S26" s="388" t="str">
        <f ca="1">IF(AND(Vsortie_de_rampe&lt;18, OR(LEFT(Type_fusee,1)=",",LEFT(Type_fusee,4)="Mini",LEFT(Type_fusee,1)="R")),IF(Lang="Français","Fusée trop lourde ou rampe trop courte !","Rocket too heavy or launch pad too small!"),"")</f>
        <v/>
      </c>
    </row>
    <row r="27" spans="1:20" ht="12.75" customHeight="1" thickTop="1" x14ac:dyDescent="0.3">
      <c r="A27" s="25"/>
      <c r="B27" s="30"/>
      <c r="C27" s="561" t="s">
        <v>422</v>
      </c>
      <c r="D27" s="562"/>
      <c r="E27" s="146">
        <f>m_ail</f>
        <v>290</v>
      </c>
      <c r="F27" s="105" t="s">
        <v>64</v>
      </c>
      <c r="G27" s="104">
        <f>IF(RIGHT(Type_fusee,1)=".",10, IF(OR(LEFT(Type_fusee,1)="R",LEFT(Type_fusee,1)=",",LEFT(Type_fusee,4)="Mini"),10, IF(LEFT(Type_fusee,5)="Micro",10, IF(RIGHT(Type_fusee,1)=" ",1))))</f>
        <v>10</v>
      </c>
      <c r="H27" s="551">
        <f>Long_tot/D_ref</f>
        <v>21.95</v>
      </c>
      <c r="I27" s="552"/>
      <c r="J27" s="104">
        <f>IF(RIGHT(Type_fusee,1)=".",35, IF(OR(LEFT(Type_fusee,1)="R",LEFT(Type_fusee,1)=",",LEFT(Type_fusee,4)="Mini"),20, IF(LEFT(Type_fusee,5)="Micro",30, IF(RIGHT(Type_fusee,1)=" ",100))))</f>
        <v>35</v>
      </c>
      <c r="K27" s="32"/>
      <c r="L27" s="38"/>
      <c r="M27" s="38"/>
      <c r="N27" s="38"/>
      <c r="Q27" s="29"/>
      <c r="R27" s="38"/>
      <c r="S27" s="388" t="str">
        <f>IF(Finesse&lt;CritFinessemin, IF(Lang="Français","Fusée trop courte !","Rocket too short!"), "" ) &amp; IF(Finesse&gt;CritFinessemax, IF(Lang="Français","Fusée trop longue !","Rocket too long!"), "" )</f>
        <v/>
      </c>
    </row>
    <row r="28" spans="1:20" ht="12.75" customHeight="1" x14ac:dyDescent="0.3">
      <c r="A28" s="25"/>
      <c r="B28" s="524" t="str">
        <f>IF(Lang="Français"," Emplanture  'm'",IF(Lang="English"," Root edge  'm'",""))</f>
        <v xml:space="preserve"> Emplanture  'm'</v>
      </c>
      <c r="C28" s="177">
        <v>290</v>
      </c>
      <c r="D28" s="177">
        <v>70</v>
      </c>
      <c r="E28" s="146">
        <f>n_ail+(m_ail-n_ail)*(1-E_int/E_ail)</f>
        <v>234</v>
      </c>
      <c r="F28" s="105" t="str">
        <f>IF(Lang="Français","Portance","Lift")</f>
        <v>Portance</v>
      </c>
      <c r="G28" s="104">
        <f>IF(RIGHT(Type_fusee,1)=".",15,IF(OR(LEFT(Type_fusee,1)="R",LEFT(Type_fusee,1)=",",LEFT(Type_fusee,4)="Mini"),15, IF(LEFT(Type_fusee,5)="Micro",15, IF(RIGHT(Type_fusee,1)=" ",15))))</f>
        <v>15</v>
      </c>
      <c r="H28" s="508">
        <f>Cnai+Cnc+Cno+Cnj+Cnr</f>
        <v>16.948604812047883</v>
      </c>
      <c r="I28" s="508">
        <f>Cnail+Cnc+Cno+Cnj+Cnr</f>
        <v>16.948604812047883</v>
      </c>
      <c r="J28" s="104">
        <f>IF(RIGHT(Type_fusee,1)=".",40, IF(OR(LEFT(Type_fusee,1)="R",LEFT(Type_fusee,1)=",",LEFT(Type_fusee,4)="Mini"),30, IF(LEFT(Type_fusee,5)="Micro",30, IF(RIGHT(Type_fusee,1)=" ",30))))</f>
        <v>40</v>
      </c>
      <c r="K28" s="32"/>
      <c r="L28" s="38"/>
      <c r="M28" s="38"/>
      <c r="N28" s="38"/>
      <c r="Q28" s="29"/>
      <c r="R28" s="38"/>
      <c r="S28" s="388" t="str">
        <f>IF(Cn&lt;CritCnmin, IF(Lang="Français","Ailerons trop petits !","Fins too small!"), "" ) &amp; IF(Cn&gt;CritCnmax, IF(Lang="Français","Ailerons trop grands !","Fins too big!"), "" )</f>
        <v/>
      </c>
    </row>
    <row r="29" spans="1:20" ht="12.75" customHeight="1" x14ac:dyDescent="0.3">
      <c r="A29" s="25"/>
      <c r="B29" s="524" t="str">
        <f>IF(Lang="Français"," Saumon       'n'",IF(Lang="English"," Tip edge    'n'",""))</f>
        <v xml:space="preserve"> Saumon       'n'</v>
      </c>
      <c r="C29" s="35">
        <v>150</v>
      </c>
      <c r="D29" s="35">
        <v>10</v>
      </c>
      <c r="E29" s="146">
        <f>p_ail*E_int/E_ail</f>
        <v>29.2</v>
      </c>
      <c r="F29" s="515" t="str">
        <f>IF(Lang="Français","MargeStat.","StatMargin")</f>
        <v>MargeStat.</v>
      </c>
      <c r="G29" s="510">
        <f>IF(RIGHT(Type_fusee,1)=".",2, IF(OR(LEFT(Type_fusee,1)="R",LEFT(Type_fusee,1)=",",LEFT(Type_fusee,4)="Mini"),1.5, IF(LEFT(Type_fusee,5)="Micro",1, IF(RIGHT(Type_fusee,1)=" ",1))))</f>
        <v>2</v>
      </c>
      <c r="H29" s="97">
        <f ca="1">(XCp-XcgPlein)/D_ref</f>
        <v>4.4950781692231727</v>
      </c>
      <c r="I29" s="98">
        <f ca="1">(XCp0-XcgVide)/D_ref</f>
        <v>5.2508689190029232</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3">
      <c r="A30" s="25"/>
      <c r="B30" s="524" t="str">
        <f>IF(Lang="Français"," Flèche          'p'"," Offset         'p'")</f>
        <v xml:space="preserve"> Flèche          'p'</v>
      </c>
      <c r="C30" s="35">
        <v>73</v>
      </c>
      <c r="D30" s="35">
        <v>40</v>
      </c>
      <c r="E30" s="146">
        <f>IF(D_can/2+E_can&lt;=D_ail/2,0, IF(D_can/2+E_can&gt;=D_ail/2+E_ail,E_ail,  D_can/2+E_can - D_ail/2  ) )</f>
        <v>50</v>
      </c>
      <c r="F30" s="516" t="str">
        <f>IF(Lang="Français","Couple","Torque")</f>
        <v>Couple</v>
      </c>
      <c r="G30" s="511">
        <f>IF(RIGHT(Type_fusee,1)=".",40, IF(OR(LEFT(Type_fusee,1)="R",LEFT(Type_fusee,1)=",",LEFT(Type_fusee,4)="Mini"),30, IF(LEFT(Type_fusee,5)="Micro",15, IF(RIGHT(Type_fusee,1)=" ",15))))</f>
        <v>40</v>
      </c>
      <c r="H30" s="99">
        <f ca="1">MS_min*Cn</f>
        <v>76.185303489427255</v>
      </c>
      <c r="I30" s="96">
        <f ca="1">MS_max*Cn0</f>
        <v>88.994902228045603</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x14ac:dyDescent="0.3">
      <c r="A31" s="25"/>
      <c r="B31" s="524" t="str">
        <f>IF(Lang="Français"," Envergure     'E'",IF(Lang="English"," Span          'E'",""))</f>
        <v xml:space="preserve"> Envergure     'E'</v>
      </c>
      <c r="C31" s="35">
        <v>125</v>
      </c>
      <c r="D31" s="35">
        <v>50</v>
      </c>
      <c r="E31" s="146">
        <f>ep_ail</f>
        <v>2</v>
      </c>
      <c r="F31" s="106" t="s">
        <v>55</v>
      </c>
      <c r="G31" s="103"/>
      <c r="H31" s="509">
        <f>(Cnai*XCpai+Cnc*XCpc+Cnj*XCpj+Cnr*XCpr+Cno*XCpo)/(Cnai+Cnc+Cnr+Cnj+Cno)</f>
        <v>1764.0810439470758</v>
      </c>
      <c r="I31" s="509">
        <f>(Cnail*XCpa+Cnc*XCpc+Cnj*XCpj+Cnr*XCpr+Cno*XCpo)/(Cnail+Cnc+Cnr+Cnj+Cno)</f>
        <v>1764.0810439470758</v>
      </c>
      <c r="J31" s="102"/>
      <c r="K31" s="32"/>
      <c r="Q31" s="29"/>
      <c r="R31" s="38"/>
      <c r="S31" s="388"/>
    </row>
    <row r="32" spans="1:20" ht="12.75" customHeight="1" x14ac:dyDescent="0.3">
      <c r="A32" s="25"/>
      <c r="B32" s="525" t="str">
        <f>IF(Lang="Français"," Epaisseur     'ep'",IF(Lang="English"," Thickness  'ep'",""))</f>
        <v xml:space="preserve"> Epaisseur     'ep'</v>
      </c>
      <c r="C32" s="35">
        <v>2</v>
      </c>
      <c r="D32" s="35">
        <v>2</v>
      </c>
      <c r="E32" s="146">
        <f>IF(Q_ail=Q_can,Q_ail,FALSE)</f>
        <v>4</v>
      </c>
      <c r="F32" s="106" t="s">
        <v>66</v>
      </c>
      <c r="G32" s="103"/>
      <c r="H32" s="100">
        <f ca="1">(XCp-XcgPlein)/Long_tot*100</f>
        <v>20.478716032907393</v>
      </c>
      <c r="I32" s="101">
        <f ca="1">(XCp-XcgVide)/Long_tot*100</f>
        <v>23.921954072906257</v>
      </c>
      <c r="J32" s="102"/>
      <c r="K32" s="32"/>
      <c r="Q32" s="29"/>
      <c r="R32" s="38"/>
    </row>
    <row r="33" spans="1:23" ht="12.75" customHeight="1" x14ac:dyDescent="0.3">
      <c r="A33" s="25"/>
      <c r="B33" s="524" t="str">
        <f>IF(Lang="Français"," Nombre            ",IF(Lang="English"," Number of fins",""))</f>
        <v xml:space="preserve"> Nombre            </v>
      </c>
      <c r="C33" s="36">
        <v>4</v>
      </c>
      <c r="D33" s="36">
        <v>4</v>
      </c>
      <c r="E33" s="146">
        <f>X_ail</f>
        <v>2195</v>
      </c>
      <c r="G33" s="24"/>
      <c r="H33" s="540" t="str">
        <f ca="1">IF(AND(CritCnmin&lt;Cn,Cn0&lt;CritCnmax,CritMsmin&lt;MS_min,MS_max&lt;CritMsmax,CritMsCnmin&lt;MS_Cn_min,MS_Cn_max&lt;CritMsCnmax),"STABLE",IF(OR(Cn&lt;CritCnmin,MS_min&lt;CritMsmin,MS_Cn_min&lt;CritMsCnmin),"INSTABLE",IF(Lang="Français","SURSTABLE","OVERSTABLE")))</f>
        <v>STABLE</v>
      </c>
      <c r="I33" s="541"/>
      <c r="J33" s="31"/>
      <c r="K33" s="32"/>
      <c r="Q33" s="29"/>
      <c r="R33" s="38"/>
    </row>
    <row r="34" spans="1:23" ht="12.75" customHeight="1" x14ac:dyDescent="0.3">
      <c r="A34" s="25"/>
      <c r="B34" s="524" t="str">
        <f>IF(Lang="Français"," Position du bas",IF(Lang="English"," Basement",""))</f>
        <v xml:space="preserve"> Position du bas</v>
      </c>
      <c r="C34" s="35">
        <v>2195</v>
      </c>
      <c r="D34" s="35">
        <v>700</v>
      </c>
      <c r="E34" s="146">
        <f>D_ail</f>
        <v>100</v>
      </c>
      <c r="G34" s="24"/>
      <c r="H34" s="542"/>
      <c r="I34" s="543"/>
      <c r="K34" s="32"/>
      <c r="Q34" s="29"/>
      <c r="R34" s="38"/>
    </row>
    <row r="35" spans="1:23" ht="12.75" customHeight="1" x14ac:dyDescent="0.3">
      <c r="A35" s="25"/>
      <c r="B35" s="524" t="str">
        <f>IF(Lang="Français"," Diamètre         ",IF(Lang="English"," Diameter at Fins",""))</f>
        <v xml:space="preserve"> Diamètre         </v>
      </c>
      <c r="C35" s="35">
        <v>100</v>
      </c>
      <c r="D35" s="35">
        <f>D_ref</f>
        <v>100</v>
      </c>
      <c r="E35" s="146">
        <f>SQRT(POWER(p_int+n_int/2-m_int/2,2)+POWER(E_int,2))</f>
        <v>50.014397926996985</v>
      </c>
      <c r="K35" s="32"/>
      <c r="Q35" s="29"/>
      <c r="R35" s="38"/>
      <c r="W35" s="24" t="str">
        <f>RIGHT(Type_fusee,1="R")</f>
        <v/>
      </c>
    </row>
    <row r="36" spans="1:23" ht="12.75" customHeight="1" x14ac:dyDescent="0.3">
      <c r="A36" s="25"/>
      <c r="B36" s="524" t="str">
        <f>IF(Lang="Français"," Ligne mi-corde f",IF(Lang="English"," Mid-chord line f",""))</f>
        <v xml:space="preserve"> Ligne mi-corde f</v>
      </c>
      <c r="C36" s="145">
        <f>SQRT(POWER(p_ail+n_ail/2-m_ail/2,2)+POWER(E_ail,2))</f>
        <v>125.03599481749245</v>
      </c>
      <c r="D36" s="145">
        <f>SQRT(POWER(p_can+n_can/2-m_can/2,2)+POWER(E_can,2))</f>
        <v>50.990195135927848</v>
      </c>
      <c r="E36" s="536"/>
      <c r="K36" s="32"/>
      <c r="Q36" s="29"/>
      <c r="R36" s="38"/>
    </row>
    <row r="37" spans="1:23" ht="12.75" customHeight="1" thickBot="1" x14ac:dyDescent="0.35">
      <c r="A37" s="40"/>
      <c r="B37" s="182" t="str">
        <f>IF(Lang="Français","Commentaire libre :",IF(Lang="English","Free comment:",""))</f>
        <v>Commentaire libre :</v>
      </c>
      <c r="C37" s="41"/>
      <c r="D37" s="42"/>
      <c r="E37" s="91"/>
      <c r="F37" s="67"/>
      <c r="G37" s="67"/>
      <c r="H37" s="67"/>
      <c r="I37" s="67"/>
      <c r="J37" s="42"/>
      <c r="K37" s="42"/>
      <c r="L37" s="389" t="s">
        <v>268</v>
      </c>
      <c r="M37" s="392" t="str">
        <f>IF(ROUND(SUM(Propu!5:1228),0)=437735,"propu OK","propu NOK")</f>
        <v>propu OK</v>
      </c>
      <c r="N37" s="391" t="str">
        <f>IF(Lang="Français","fichier initial","Initial file")</f>
        <v>fichier initial</v>
      </c>
      <c r="O37" s="392"/>
      <c r="P37" s="390"/>
      <c r="Q37" s="291" t="s">
        <v>565</v>
      </c>
      <c r="R37" s="43"/>
    </row>
    <row r="39" spans="1:23" x14ac:dyDescent="0.3">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3">
      <c r="H40" s="87"/>
      <c r="O40" s="26"/>
      <c r="P40" s="26"/>
      <c r="S40" s="506"/>
    </row>
    <row r="41" spans="1:23" x14ac:dyDescent="0.3">
      <c r="F41" s="24"/>
      <c r="H41" s="43"/>
      <c r="I41" s="44"/>
      <c r="J41" s="43"/>
      <c r="N41" s="43"/>
      <c r="Q41" s="43"/>
      <c r="R41" s="43"/>
    </row>
    <row r="42" spans="1:23" x14ac:dyDescent="0.3">
      <c r="F42" s="24"/>
      <c r="G42" s="503"/>
      <c r="H42" s="504"/>
      <c r="I42" s="44"/>
      <c r="J42" s="43"/>
      <c r="N42" s="43"/>
      <c r="Q42" s="43"/>
      <c r="R42" s="43"/>
    </row>
    <row r="43" spans="1:23" x14ac:dyDescent="0.3">
      <c r="F43" s="24"/>
      <c r="H43" s="43"/>
      <c r="I43" s="44"/>
      <c r="J43" s="43"/>
      <c r="N43" s="43"/>
      <c r="Q43" s="43"/>
      <c r="R43" s="43"/>
    </row>
    <row r="44" spans="1:23" x14ac:dyDescent="0.3">
      <c r="F44" s="24"/>
      <c r="H44" s="43"/>
      <c r="I44" s="44"/>
      <c r="J44" s="43"/>
      <c r="N44" s="43"/>
      <c r="Q44" s="43"/>
      <c r="R44" s="43"/>
    </row>
    <row r="45" spans="1:23" x14ac:dyDescent="0.3">
      <c r="F45" s="24"/>
      <c r="H45" s="43"/>
      <c r="I45" s="44"/>
      <c r="J45" s="43"/>
      <c r="N45" s="43"/>
      <c r="Q45" s="43"/>
      <c r="R45" s="43"/>
    </row>
    <row r="46" spans="1:23" x14ac:dyDescent="0.3">
      <c r="F46" s="24"/>
      <c r="H46" s="43"/>
      <c r="I46" s="44"/>
      <c r="J46" s="43"/>
      <c r="N46" s="43"/>
      <c r="Q46" s="43"/>
      <c r="R46" s="43"/>
    </row>
    <row r="47" spans="1:23" x14ac:dyDescent="0.3">
      <c r="F47" s="24"/>
      <c r="H47" s="43"/>
      <c r="I47" s="44"/>
      <c r="J47" s="43"/>
      <c r="L47" s="43"/>
      <c r="M47" s="43"/>
      <c r="N47" s="43"/>
      <c r="Q47" s="43"/>
      <c r="R47" s="43"/>
    </row>
    <row r="48" spans="1:23" x14ac:dyDescent="0.3">
      <c r="F48" s="24"/>
      <c r="H48" s="43"/>
      <c r="I48" s="44"/>
      <c r="J48" s="43"/>
      <c r="L48" s="43"/>
      <c r="M48" s="43"/>
      <c r="N48" s="43"/>
      <c r="Q48" s="43"/>
      <c r="R48" s="43"/>
    </row>
    <row r="49" spans="2:18" x14ac:dyDescent="0.3">
      <c r="F49" s="24"/>
      <c r="H49" s="43"/>
      <c r="I49" s="44"/>
      <c r="J49" s="43"/>
      <c r="L49" s="43"/>
      <c r="M49" s="43"/>
      <c r="N49" s="43"/>
      <c r="Q49" s="43"/>
      <c r="R49" s="43"/>
    </row>
    <row r="50" spans="2:18" x14ac:dyDescent="0.3">
      <c r="F50" s="24"/>
      <c r="H50" s="43"/>
      <c r="I50" s="44"/>
      <c r="J50" s="43"/>
      <c r="L50" s="43"/>
      <c r="M50" s="43"/>
      <c r="N50" s="43"/>
      <c r="Q50" s="43"/>
      <c r="R50" s="43"/>
    </row>
    <row r="51" spans="2:18" x14ac:dyDescent="0.3">
      <c r="F51" s="24"/>
      <c r="H51" s="43"/>
      <c r="I51" s="44"/>
      <c r="J51" s="43"/>
      <c r="L51" s="43"/>
      <c r="M51" s="43"/>
      <c r="N51" s="43"/>
      <c r="Q51" s="43"/>
      <c r="R51" s="43"/>
    </row>
    <row r="52" spans="2:18" x14ac:dyDescent="0.3">
      <c r="F52" s="24"/>
      <c r="H52" s="43"/>
      <c r="I52" s="44"/>
      <c r="J52" s="43"/>
      <c r="L52" s="43"/>
      <c r="M52" s="43"/>
      <c r="N52" s="43"/>
      <c r="Q52" s="43"/>
      <c r="R52" s="43"/>
    </row>
    <row r="53" spans="2:18" x14ac:dyDescent="0.3">
      <c r="H53" s="43"/>
      <c r="I53" s="44"/>
      <c r="J53" s="43"/>
      <c r="L53" s="43"/>
      <c r="M53" s="43"/>
      <c r="N53" s="43"/>
      <c r="Q53" s="43"/>
      <c r="R53" s="43"/>
    </row>
    <row r="54" spans="2:18" x14ac:dyDescent="0.3">
      <c r="H54" s="43"/>
      <c r="I54" s="44"/>
      <c r="J54" s="43"/>
      <c r="L54" s="43"/>
      <c r="M54" s="43"/>
      <c r="N54" s="43"/>
      <c r="Q54" s="43"/>
      <c r="R54" s="43"/>
    </row>
    <row r="55" spans="2:18" x14ac:dyDescent="0.3">
      <c r="H55" s="43"/>
      <c r="I55" s="44"/>
      <c r="J55" s="43"/>
      <c r="L55" s="43"/>
      <c r="M55" s="43"/>
      <c r="N55" s="43"/>
      <c r="Q55" s="43"/>
      <c r="R55" s="43"/>
    </row>
    <row r="56" spans="2:18" x14ac:dyDescent="0.3">
      <c r="H56" s="43"/>
      <c r="I56" s="44"/>
      <c r="J56" s="43"/>
      <c r="L56" s="43"/>
      <c r="M56" s="43"/>
      <c r="N56" s="43"/>
      <c r="Q56" s="43"/>
      <c r="R56" s="43"/>
    </row>
    <row r="57" spans="2:18" x14ac:dyDescent="0.3">
      <c r="C57" s="24"/>
      <c r="H57" s="43"/>
      <c r="I57" s="44"/>
      <c r="J57" s="43"/>
      <c r="L57" s="43"/>
      <c r="M57" s="43"/>
      <c r="N57" s="43"/>
      <c r="Q57" s="43"/>
      <c r="R57" s="43"/>
    </row>
    <row r="58" spans="2:18" x14ac:dyDescent="0.3">
      <c r="H58" s="43"/>
      <c r="I58" s="44"/>
      <c r="J58" s="43"/>
      <c r="L58" s="43"/>
      <c r="M58" s="43"/>
      <c r="N58" s="43"/>
      <c r="Q58" s="43"/>
      <c r="R58" s="43"/>
    </row>
    <row r="59" spans="2:18" x14ac:dyDescent="0.3">
      <c r="B59" s="31"/>
      <c r="H59" s="43"/>
      <c r="I59" s="44"/>
      <c r="J59" s="43"/>
      <c r="L59" s="43"/>
      <c r="M59" s="43"/>
      <c r="N59" s="43"/>
      <c r="Q59" s="43"/>
      <c r="R59" s="43"/>
    </row>
    <row r="60" spans="2:18" x14ac:dyDescent="0.3">
      <c r="B60" s="31"/>
      <c r="H60" s="43"/>
      <c r="I60" s="44"/>
      <c r="J60" s="43"/>
      <c r="L60" s="43"/>
      <c r="M60" s="43"/>
      <c r="N60" s="43"/>
      <c r="Q60" s="43"/>
      <c r="R60" s="43"/>
    </row>
    <row r="61" spans="2:18" x14ac:dyDescent="0.3">
      <c r="B61" s="31"/>
      <c r="H61" s="43"/>
      <c r="I61" s="44"/>
      <c r="J61" s="43"/>
      <c r="L61" s="43"/>
      <c r="M61" s="43"/>
      <c r="N61" s="43"/>
      <c r="Q61" s="43"/>
      <c r="R61" s="43"/>
    </row>
    <row r="62" spans="2:18" x14ac:dyDescent="0.3">
      <c r="B62" s="31"/>
      <c r="H62" s="43"/>
      <c r="I62" s="44"/>
      <c r="J62" s="43"/>
      <c r="L62" s="43"/>
      <c r="M62" s="43"/>
      <c r="N62" s="43"/>
      <c r="Q62" s="43"/>
      <c r="R62" s="43"/>
    </row>
    <row r="63" spans="2:18" x14ac:dyDescent="0.3">
      <c r="B63" s="31"/>
      <c r="H63" s="43"/>
      <c r="I63" s="44"/>
      <c r="J63" s="43"/>
      <c r="L63" s="43"/>
      <c r="M63" s="43"/>
      <c r="N63" s="43"/>
      <c r="Q63" s="43"/>
      <c r="R63" s="43"/>
    </row>
    <row r="64" spans="2:18" x14ac:dyDescent="0.3">
      <c r="B64" s="31"/>
      <c r="H64" s="43"/>
      <c r="I64" s="44"/>
      <c r="J64" s="43"/>
      <c r="L64" s="43"/>
      <c r="M64" s="43"/>
      <c r="N64" s="43"/>
      <c r="Q64" s="43"/>
      <c r="R64" s="43"/>
    </row>
    <row r="65" spans="2:18" x14ac:dyDescent="0.3">
      <c r="B65" s="31"/>
      <c r="H65" s="43"/>
      <c r="I65" s="44"/>
      <c r="J65" s="43"/>
      <c r="L65" s="43"/>
      <c r="M65" s="43"/>
      <c r="N65" s="43"/>
      <c r="Q65" s="43"/>
      <c r="R65" s="43"/>
    </row>
    <row r="66" spans="2:18" x14ac:dyDescent="0.3">
      <c r="B66" s="31"/>
      <c r="H66" s="43"/>
      <c r="I66" s="44"/>
      <c r="J66" s="43"/>
      <c r="L66" s="43"/>
      <c r="M66" s="43"/>
      <c r="N66" s="43"/>
      <c r="Q66" s="43"/>
      <c r="R66" s="43"/>
    </row>
    <row r="67" spans="2:18" x14ac:dyDescent="0.3">
      <c r="B67" s="31"/>
      <c r="H67" s="43"/>
      <c r="I67" s="44"/>
      <c r="J67" s="43"/>
      <c r="L67" s="43"/>
      <c r="M67" s="43"/>
      <c r="N67" s="43"/>
      <c r="Q67" s="43"/>
      <c r="R67" s="43"/>
    </row>
    <row r="68" spans="2:18" x14ac:dyDescent="0.3">
      <c r="C68" s="24"/>
      <c r="H68" s="43"/>
      <c r="I68" s="44"/>
      <c r="J68" s="43"/>
      <c r="L68" s="43"/>
      <c r="M68" s="43"/>
      <c r="N68" s="43"/>
      <c r="Q68" s="43"/>
      <c r="R68" s="43"/>
    </row>
    <row r="69" spans="2:18" x14ac:dyDescent="0.3">
      <c r="C69" s="24"/>
      <c r="H69" s="43"/>
      <c r="I69" s="44"/>
      <c r="J69" s="43"/>
      <c r="L69" s="43"/>
      <c r="M69" s="43"/>
      <c r="N69" s="43"/>
      <c r="Q69" s="43"/>
      <c r="R69" s="43"/>
    </row>
    <row r="70" spans="2:18" x14ac:dyDescent="0.3">
      <c r="C70" s="24"/>
      <c r="H70" s="43"/>
      <c r="I70" s="44"/>
      <c r="J70" s="43"/>
      <c r="L70" s="43"/>
      <c r="M70" s="43"/>
      <c r="N70" s="43"/>
      <c r="Q70" s="43"/>
      <c r="R70" s="43"/>
    </row>
    <row r="71" spans="2:18" x14ac:dyDescent="0.3">
      <c r="C71" s="24"/>
      <c r="H71" s="43"/>
      <c r="I71" s="44"/>
      <c r="J71" s="43"/>
      <c r="L71" s="43"/>
      <c r="M71" s="43"/>
      <c r="N71" s="43"/>
      <c r="Q71" s="43"/>
      <c r="R71" s="43"/>
    </row>
    <row r="72" spans="2:18" x14ac:dyDescent="0.3">
      <c r="C72" s="24"/>
      <c r="H72" s="43"/>
      <c r="I72" s="44"/>
      <c r="J72" s="43"/>
      <c r="L72" s="43"/>
      <c r="M72" s="43"/>
      <c r="N72" s="43"/>
      <c r="Q72" s="43"/>
      <c r="R72" s="43"/>
    </row>
    <row r="73" spans="2:18" x14ac:dyDescent="0.3">
      <c r="C73" s="24"/>
      <c r="H73" s="43"/>
      <c r="I73" s="44"/>
      <c r="J73" s="43"/>
      <c r="L73" s="43"/>
      <c r="M73" s="43"/>
      <c r="N73" s="43"/>
      <c r="Q73" s="43"/>
      <c r="R73" s="43"/>
    </row>
    <row r="74" spans="2:18" x14ac:dyDescent="0.3">
      <c r="C74" s="24"/>
      <c r="H74" s="43"/>
      <c r="I74" s="44"/>
      <c r="J74" s="43"/>
      <c r="L74" s="43"/>
      <c r="M74" s="43"/>
      <c r="N74" s="43"/>
      <c r="Q74" s="43"/>
      <c r="R74" s="43"/>
    </row>
    <row r="75" spans="2:18" x14ac:dyDescent="0.3">
      <c r="C75" s="24"/>
      <c r="H75" s="43"/>
      <c r="I75" s="44"/>
      <c r="J75" s="43"/>
      <c r="L75" s="43"/>
      <c r="M75" s="43"/>
      <c r="N75" s="43"/>
      <c r="Q75" s="43"/>
      <c r="R75" s="43"/>
    </row>
    <row r="76" spans="2:18" x14ac:dyDescent="0.3">
      <c r="C76" s="24"/>
      <c r="H76" s="43"/>
      <c r="I76" s="44"/>
      <c r="J76" s="43"/>
      <c r="L76" s="43"/>
      <c r="M76" s="43"/>
      <c r="N76" s="43"/>
      <c r="Q76" s="43"/>
      <c r="R76" s="43"/>
    </row>
    <row r="77" spans="2:18" x14ac:dyDescent="0.3">
      <c r="C77" s="24"/>
      <c r="H77" s="43"/>
      <c r="I77" s="44"/>
      <c r="J77" s="43"/>
      <c r="L77" s="43"/>
      <c r="M77" s="43"/>
      <c r="N77" s="43"/>
      <c r="Q77" s="43"/>
      <c r="R77" s="43"/>
    </row>
    <row r="78" spans="2:18" x14ac:dyDescent="0.3">
      <c r="C78" s="24"/>
      <c r="H78" s="43"/>
      <c r="I78" s="44"/>
      <c r="J78" s="43"/>
      <c r="L78" s="43"/>
      <c r="M78" s="43"/>
      <c r="N78" s="43"/>
      <c r="Q78" s="43"/>
      <c r="R78" s="43"/>
    </row>
    <row r="79" spans="2:18" x14ac:dyDescent="0.3">
      <c r="C79" s="24"/>
      <c r="H79" s="43"/>
      <c r="I79" s="44"/>
      <c r="J79" s="43"/>
      <c r="L79" s="43"/>
      <c r="M79" s="43"/>
      <c r="N79" s="43"/>
      <c r="Q79" s="43"/>
      <c r="R79" s="43"/>
    </row>
    <row r="80" spans="2:18" x14ac:dyDescent="0.3">
      <c r="C80" s="24"/>
      <c r="H80" s="43"/>
      <c r="I80" s="44"/>
      <c r="J80" s="43"/>
      <c r="L80" s="43"/>
      <c r="M80" s="43"/>
      <c r="N80" s="43"/>
      <c r="Q80" s="43"/>
      <c r="R80" s="43"/>
    </row>
    <row r="81" spans="2:18" x14ac:dyDescent="0.3">
      <c r="C81" s="24"/>
      <c r="H81" s="43"/>
      <c r="I81" s="44"/>
      <c r="J81" s="43"/>
      <c r="L81" s="43"/>
      <c r="M81" s="43"/>
      <c r="N81" s="43"/>
      <c r="Q81" s="43"/>
      <c r="R81" s="43"/>
    </row>
    <row r="82" spans="2:18" x14ac:dyDescent="0.3">
      <c r="C82" s="24"/>
      <c r="H82" s="43"/>
      <c r="I82" s="44"/>
      <c r="J82" s="43"/>
      <c r="L82" s="43"/>
      <c r="M82" s="43"/>
      <c r="N82" s="43"/>
      <c r="Q82" s="43"/>
      <c r="R82" s="43"/>
    </row>
    <row r="83" spans="2:18" x14ac:dyDescent="0.3">
      <c r="C83" s="24"/>
      <c r="H83" s="43"/>
      <c r="I83" s="44"/>
      <c r="J83" s="43"/>
      <c r="L83" s="43"/>
      <c r="M83" s="43"/>
      <c r="N83" s="43"/>
      <c r="Q83" s="43"/>
      <c r="R83" s="43"/>
    </row>
    <row r="84" spans="2:18" x14ac:dyDescent="0.3">
      <c r="C84" s="24"/>
      <c r="H84" s="43"/>
      <c r="I84" s="44"/>
      <c r="J84" s="43"/>
      <c r="L84" s="43"/>
      <c r="M84" s="43"/>
      <c r="N84" s="43"/>
      <c r="Q84" s="43"/>
      <c r="R84" s="43"/>
    </row>
    <row r="85" spans="2:18" x14ac:dyDescent="0.3">
      <c r="C85" s="24"/>
      <c r="H85" s="43"/>
      <c r="I85" s="44"/>
      <c r="J85" s="43"/>
      <c r="L85" s="43"/>
      <c r="M85" s="43"/>
      <c r="N85" s="43"/>
      <c r="Q85" s="43"/>
      <c r="R85" s="43"/>
    </row>
    <row r="86" spans="2:18" x14ac:dyDescent="0.3">
      <c r="C86" s="24"/>
      <c r="H86" s="43"/>
      <c r="I86" s="44"/>
      <c r="J86" s="43"/>
      <c r="L86" s="43"/>
      <c r="M86" s="43"/>
      <c r="N86" s="43"/>
      <c r="Q86" s="43"/>
      <c r="R86" s="43"/>
    </row>
    <row r="87" spans="2:18" x14ac:dyDescent="0.3">
      <c r="C87" s="24"/>
      <c r="H87" s="43"/>
      <c r="I87" s="44"/>
      <c r="J87" s="43"/>
      <c r="L87" s="43"/>
      <c r="M87" s="43"/>
      <c r="N87" s="43"/>
      <c r="Q87" s="43"/>
      <c r="R87" s="43"/>
    </row>
    <row r="88" spans="2:18" x14ac:dyDescent="0.3">
      <c r="C88" s="24"/>
      <c r="H88" s="43"/>
      <c r="I88" s="44"/>
      <c r="J88" s="43"/>
      <c r="L88" s="43"/>
      <c r="M88" s="43"/>
      <c r="N88" s="43"/>
      <c r="Q88" s="43"/>
      <c r="R88" s="43"/>
    </row>
    <row r="89" spans="2:18" x14ac:dyDescent="0.3">
      <c r="C89" s="24"/>
      <c r="H89" s="43"/>
      <c r="I89" s="44"/>
      <c r="J89" s="43"/>
      <c r="L89" s="43"/>
      <c r="M89" s="43"/>
      <c r="N89" s="43"/>
      <c r="Q89" s="43"/>
      <c r="R89" s="43"/>
    </row>
    <row r="90" spans="2:18" x14ac:dyDescent="0.3">
      <c r="C90" s="24"/>
      <c r="H90" s="43"/>
      <c r="I90" s="44"/>
      <c r="J90" s="43"/>
      <c r="L90" s="43"/>
      <c r="M90" s="43"/>
      <c r="N90" s="43"/>
      <c r="Q90" s="43"/>
      <c r="R90" s="43"/>
    </row>
    <row r="91" spans="2:18" x14ac:dyDescent="0.3">
      <c r="C91" s="24"/>
      <c r="H91" s="43"/>
      <c r="I91" s="44"/>
      <c r="J91" s="43"/>
      <c r="L91" s="43"/>
      <c r="M91" s="43"/>
      <c r="N91" s="43"/>
      <c r="Q91" s="43"/>
      <c r="R91" s="43"/>
    </row>
    <row r="92" spans="2:18" x14ac:dyDescent="0.3">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3">
      <c r="H93" s="43"/>
      <c r="I93" s="44"/>
      <c r="J93" s="43"/>
      <c r="L93" s="43"/>
      <c r="M93" s="43"/>
      <c r="N93" s="43"/>
      <c r="Q93" s="43"/>
      <c r="R93" s="43"/>
    </row>
    <row r="94" spans="2:18" x14ac:dyDescent="0.3">
      <c r="B94" s="26" t="s">
        <v>1</v>
      </c>
      <c r="H94" s="43"/>
      <c r="I94" s="44"/>
      <c r="J94" s="43"/>
      <c r="L94" s="43"/>
      <c r="M94" s="43"/>
      <c r="N94" s="43"/>
      <c r="Q94" s="43"/>
      <c r="R94" s="43"/>
    </row>
    <row r="95" spans="2:18" x14ac:dyDescent="0.3">
      <c r="B95" s="26" t="s">
        <v>67</v>
      </c>
      <c r="H95" s="43"/>
      <c r="I95" s="44"/>
      <c r="J95" s="43"/>
      <c r="L95" s="43"/>
      <c r="M95" s="43"/>
      <c r="N95" s="43"/>
      <c r="Q95" s="43"/>
      <c r="R95" s="43"/>
    </row>
    <row r="96" spans="2:18" x14ac:dyDescent="0.3">
      <c r="B96" s="26"/>
      <c r="H96" s="43"/>
      <c r="I96" s="44"/>
      <c r="J96" s="43"/>
      <c r="L96" s="43"/>
      <c r="M96" s="43"/>
      <c r="N96" s="43"/>
      <c r="Q96" s="43"/>
      <c r="R96" s="43"/>
    </row>
    <row r="97" spans="2:18" x14ac:dyDescent="0.3">
      <c r="B97" s="26" t="str">
        <f>IF(Lang="Français","Fusée à eau  ",IF(Lang="English","Water-rocket  ",""))</f>
        <v xml:space="preserve">Fusée à eau  </v>
      </c>
      <c r="H97" s="43"/>
      <c r="I97" s="44"/>
      <c r="J97" s="43"/>
      <c r="L97" s="43"/>
      <c r="M97" s="43"/>
      <c r="N97" s="43"/>
      <c r="Q97" s="43"/>
      <c r="R97" s="43"/>
    </row>
    <row r="98" spans="2:18" x14ac:dyDescent="0.3">
      <c r="B98" s="26" t="str">
        <f>IF(Lang="Français","Microfusée",IF(Lang="English","Micro-rocket",""))</f>
        <v>Microfusée</v>
      </c>
      <c r="H98" s="43"/>
      <c r="I98" s="44"/>
      <c r="J98" s="43"/>
      <c r="L98" s="43"/>
      <c r="M98" s="43"/>
      <c r="N98" s="43"/>
      <c r="Q98" s="43"/>
      <c r="R98" s="43"/>
    </row>
    <row r="99" spans="2:18" x14ac:dyDescent="0.3">
      <c r="B99" s="26" t="str">
        <f>IF(Lang="Français","Minifusée",IF(Lang="English","Mini-rocket",""))</f>
        <v>Minifusée</v>
      </c>
      <c r="H99" s="43"/>
      <c r="I99" s="44"/>
      <c r="J99" s="43"/>
      <c r="L99" s="43"/>
      <c r="M99" s="43"/>
      <c r="N99" s="43"/>
      <c r="Q99" s="43"/>
      <c r="R99" s="43"/>
    </row>
    <row r="100" spans="2:18" x14ac:dyDescent="0.3">
      <c r="B100" s="26" t="str">
        <f>IF(Lang="Français","Fusée expérimentale.",IF(Lang="English","Experimental Rocket.",""))</f>
        <v>Fusée expérimentale.</v>
      </c>
      <c r="H100" s="43"/>
      <c r="I100" s="44"/>
      <c r="J100" s="43"/>
      <c r="L100" s="43"/>
      <c r="M100" s="43"/>
      <c r="N100" s="43"/>
      <c r="Q100" s="43"/>
      <c r="R100" s="43"/>
    </row>
    <row r="101" spans="2:18" x14ac:dyDescent="0.3">
      <c r="B101" s="26" t="s">
        <v>396</v>
      </c>
      <c r="H101" s="43"/>
      <c r="I101" s="44"/>
      <c r="J101" s="43"/>
      <c r="L101" s="43"/>
      <c r="M101" s="43"/>
      <c r="N101" s="43"/>
      <c r="Q101" s="43"/>
      <c r="R101" s="43"/>
    </row>
    <row r="102" spans="2:18" x14ac:dyDescent="0.3">
      <c r="B102" s="26"/>
      <c r="H102" s="43"/>
      <c r="I102" s="44"/>
      <c r="J102" s="43"/>
      <c r="L102" s="43"/>
      <c r="M102" s="43"/>
      <c r="N102" s="43"/>
      <c r="Q102" s="43"/>
      <c r="R102" s="43"/>
    </row>
    <row r="103" spans="2:18" x14ac:dyDescent="0.3">
      <c r="B103" s="26" t="str">
        <f>IF(Lang="Français","sans propu",IF(Lang="English","without motor",""))</f>
        <v>sans propu</v>
      </c>
      <c r="H103" s="43"/>
      <c r="I103" s="44"/>
      <c r="J103" s="43"/>
      <c r="L103" s="43"/>
      <c r="M103" s="43"/>
      <c r="N103" s="43"/>
      <c r="Q103" s="43"/>
      <c r="R103" s="43"/>
    </row>
    <row r="104" spans="2:18" x14ac:dyDescent="0.3">
      <c r="B104" s="26" t="str">
        <f>IF(Lang="Français","avec propu vide",IF(Lang="English","with empty motor",""))</f>
        <v>avec propu vide</v>
      </c>
      <c r="H104" s="43"/>
      <c r="I104" s="44"/>
      <c r="J104" s="43"/>
      <c r="L104" s="43"/>
      <c r="M104" s="43"/>
      <c r="N104" s="43"/>
      <c r="Q104" s="43"/>
      <c r="R104" s="43"/>
    </row>
    <row r="105" spans="2:18" x14ac:dyDescent="0.3">
      <c r="B105" s="26" t="str">
        <f>IF(Lang="Français","avec propu plein",IF(Lang="English","with loaded motor",""))</f>
        <v>avec propu plein</v>
      </c>
      <c r="H105" s="43"/>
      <c r="I105" s="44"/>
      <c r="J105" s="43"/>
      <c r="L105" s="43"/>
      <c r="M105" s="43"/>
      <c r="N105" s="43"/>
      <c r="Q105" s="43"/>
      <c r="R105" s="43"/>
    </row>
    <row r="106" spans="2:18" x14ac:dyDescent="0.3">
      <c r="B106" s="26"/>
      <c r="H106" s="43"/>
      <c r="I106" s="44"/>
      <c r="J106" s="43"/>
      <c r="L106" s="43"/>
      <c r="M106" s="43"/>
      <c r="N106" s="43"/>
      <c r="Q106" s="43"/>
      <c r="R106" s="43"/>
    </row>
    <row r="107" spans="2:18" x14ac:dyDescent="0.3">
      <c r="B107" s="26" t="str">
        <f>IF(Lang="Français","Parabolique (arrondie)",IF(Lang="English","Parabola (rounded)",""))</f>
        <v>Parabolique (arrondie)</v>
      </c>
      <c r="H107" s="43"/>
      <c r="I107" s="44"/>
      <c r="J107" s="43"/>
      <c r="L107" s="43"/>
      <c r="M107" s="43"/>
      <c r="N107" s="43"/>
      <c r="Q107" s="43"/>
      <c r="R107" s="43"/>
    </row>
    <row r="108" spans="2:18" x14ac:dyDescent="0.3">
      <c r="B108" s="26" t="str">
        <f>IF(Lang="Français","Ogivale (pointue)",IF(Lang="English","Ogive (sharp)",""))</f>
        <v>Ogivale (pointue)</v>
      </c>
      <c r="H108" s="43"/>
      <c r="I108" s="44"/>
      <c r="J108" s="43"/>
      <c r="L108" s="43"/>
      <c r="M108" s="43"/>
      <c r="N108" s="43"/>
      <c r="Q108" s="43"/>
      <c r="R108" s="43"/>
    </row>
    <row r="109" spans="2:18" x14ac:dyDescent="0.3">
      <c r="B109" s="26" t="str">
        <f>IF(Lang="Français","Conique (droite)",IF(Lang="English","Cone (straight)",""))</f>
        <v>Conique (droite)</v>
      </c>
      <c r="H109" s="43"/>
      <c r="I109" s="44"/>
      <c r="J109" s="43"/>
      <c r="L109" s="43"/>
      <c r="M109" s="43"/>
      <c r="N109" s="43"/>
      <c r="Q109" s="43"/>
      <c r="R109" s="43"/>
    </row>
    <row r="110" spans="2:18" x14ac:dyDescent="0.3">
      <c r="B110" s="38"/>
      <c r="H110" s="43"/>
      <c r="I110" s="44"/>
      <c r="J110" s="43"/>
      <c r="L110" s="43"/>
      <c r="M110" s="43"/>
      <c r="N110" s="43"/>
      <c r="Q110" s="43"/>
      <c r="R110" s="43"/>
    </row>
    <row r="111" spans="2:18" x14ac:dyDescent="0.3">
      <c r="B111" s="38" t="s">
        <v>422</v>
      </c>
      <c r="H111" s="43"/>
      <c r="I111" s="44"/>
      <c r="J111" s="43"/>
      <c r="L111" s="43"/>
      <c r="M111" s="43"/>
      <c r="N111" s="43"/>
      <c r="Q111" s="43"/>
      <c r="R111" s="43"/>
    </row>
    <row r="112" spans="2:18" x14ac:dyDescent="0.3">
      <c r="B112" s="38" t="s">
        <v>423</v>
      </c>
      <c r="H112" s="43"/>
      <c r="I112" s="44"/>
      <c r="J112" s="43"/>
      <c r="L112" s="43"/>
      <c r="M112" s="43"/>
      <c r="N112" s="43"/>
      <c r="Q112" s="43"/>
      <c r="R112" s="43"/>
    </row>
    <row r="113" spans="2:18" x14ac:dyDescent="0.3">
      <c r="B113" s="38"/>
      <c r="H113" s="43"/>
      <c r="I113" s="44"/>
      <c r="J113" s="43"/>
      <c r="L113" s="43"/>
      <c r="M113" s="43"/>
      <c r="N113" s="43"/>
      <c r="Q113" s="43"/>
      <c r="R113" s="43"/>
    </row>
    <row r="114" spans="2:18" x14ac:dyDescent="0.3">
      <c r="B114" s="38" t="str">
        <f>IF(Lang="Français","Fusée mono-diamètre,",IF(Lang="English","Mono-diameter rocket,",""))</f>
        <v>Fusée mono-diamètre,</v>
      </c>
      <c r="H114" s="43"/>
      <c r="I114" s="44"/>
      <c r="J114" s="43"/>
      <c r="L114" s="43"/>
      <c r="M114" s="43"/>
      <c r="N114" s="43"/>
      <c r="Q114" s="43"/>
      <c r="R114" s="43"/>
    </row>
    <row r="115" spans="2:18" x14ac:dyDescent="0.3">
      <c r="B115" s="38" t="str">
        <f>IF(Lang="Français","Plusieurs diamètres.",IF(Lang="English","Many diameters rocket.",""))</f>
        <v>Plusieurs diamètres.</v>
      </c>
      <c r="H115" s="43"/>
      <c r="I115" s="44"/>
      <c r="J115" s="43"/>
      <c r="L115" s="43"/>
      <c r="M115" s="43"/>
      <c r="N115" s="43"/>
      <c r="Q115" s="43"/>
      <c r="R115" s="43"/>
    </row>
    <row r="116" spans="2:18" x14ac:dyDescent="0.3">
      <c r="B116" s="38"/>
      <c r="H116" s="43"/>
      <c r="I116" s="44"/>
      <c r="J116" s="43"/>
      <c r="L116" s="43"/>
      <c r="M116" s="43"/>
      <c r="N116" s="43"/>
      <c r="Q116" s="43"/>
      <c r="R116" s="43"/>
    </row>
    <row r="117" spans="2:18" x14ac:dyDescent="0.3">
      <c r="B117" s="223" t="str">
        <f>IF(Lang="Français","Diagramme des critères de stabilité","Stability criterions diagram")</f>
        <v>Diagramme des critères de stabilité</v>
      </c>
      <c r="H117" s="43"/>
      <c r="I117" s="44"/>
      <c r="J117" s="43"/>
      <c r="L117" s="43"/>
      <c r="M117" s="43"/>
      <c r="N117" s="43"/>
      <c r="Q117" s="43"/>
      <c r="R117" s="43"/>
    </row>
    <row r="118" spans="2:18" x14ac:dyDescent="0.3">
      <c r="B118" s="223" t="str">
        <f>IF(Lang="Français","Marge Statique (MS)","Static Margin")</f>
        <v>Marge Statique (MS)</v>
      </c>
      <c r="H118" s="43"/>
      <c r="I118" s="44"/>
      <c r="J118" s="43"/>
      <c r="L118" s="43"/>
      <c r="M118" s="43"/>
      <c r="N118" s="43"/>
      <c r="Q118" s="43"/>
      <c r="R118" s="43"/>
    </row>
    <row r="119" spans="2:18" x14ac:dyDescent="0.3">
      <c r="B119" s="223" t="str">
        <f>IF(Lang="Français","Portance Cnα","Lift Cnα")</f>
        <v>Portance Cnα</v>
      </c>
      <c r="H119" s="43"/>
      <c r="I119" s="44"/>
      <c r="J119" s="43"/>
      <c r="L119" s="43"/>
      <c r="M119" s="43"/>
      <c r="N119" s="43"/>
      <c r="Q119" s="43"/>
      <c r="R119" s="43"/>
    </row>
    <row r="120" spans="2:18" x14ac:dyDescent="0.3">
      <c r="B120" s="38"/>
      <c r="H120" s="43"/>
      <c r="I120" s="44"/>
      <c r="J120" s="43"/>
      <c r="L120" s="43"/>
      <c r="M120" s="43"/>
      <c r="N120" s="43"/>
      <c r="Q120" s="43"/>
      <c r="R120" s="43"/>
    </row>
    <row r="121" spans="2:18" x14ac:dyDescent="0.3">
      <c r="B121" s="24" t="str">
        <f>IF(Lang="Français","Données pour les graphiques :",IF(Lang="English","Data for plots:",""))</f>
        <v>Données pour les graphiques :</v>
      </c>
      <c r="H121" s="43"/>
      <c r="I121" s="44"/>
      <c r="J121" s="43"/>
      <c r="L121" s="43"/>
      <c r="M121" s="43"/>
      <c r="N121" s="43"/>
      <c r="Q121" s="43"/>
      <c r="R121" s="43"/>
    </row>
    <row r="122" spans="2:18" x14ac:dyDescent="0.3">
      <c r="H122" s="43"/>
      <c r="I122" s="44"/>
      <c r="J122" s="43"/>
      <c r="L122" s="43"/>
      <c r="M122" s="43"/>
      <c r="N122" s="43"/>
      <c r="Q122" s="43"/>
      <c r="R122" s="43"/>
    </row>
    <row r="123" spans="2:18" x14ac:dyDescent="0.3">
      <c r="B123" s="45"/>
      <c r="C123" s="45" t="s">
        <v>68</v>
      </c>
      <c r="D123" s="45" t="s">
        <v>69</v>
      </c>
      <c r="E123" s="92" t="s">
        <v>70</v>
      </c>
      <c r="K123" s="45"/>
    </row>
    <row r="124" spans="2:18" x14ac:dyDescent="0.3">
      <c r="B124" s="45" t="s">
        <v>72</v>
      </c>
      <c r="C124" s="46">
        <f>-Long_ogive</f>
        <v>-40</v>
      </c>
      <c r="D124" s="46">
        <v>0</v>
      </c>
      <c r="E124" s="93">
        <f t="shared" ref="E124:E136" si="0">-D124</f>
        <v>0</v>
      </c>
      <c r="K124" s="46"/>
    </row>
    <row r="125" spans="2:18" x14ac:dyDescent="0.3">
      <c r="B125" s="45" t="s">
        <v>72</v>
      </c>
      <c r="C125" s="46">
        <f>-Long_ogive</f>
        <v>-40</v>
      </c>
      <c r="D125" s="46">
        <f>D_og/2</f>
        <v>45</v>
      </c>
      <c r="E125" s="93">
        <f t="shared" si="0"/>
        <v>-45</v>
      </c>
      <c r="K125" s="46"/>
    </row>
    <row r="126" spans="2:18" x14ac:dyDescent="0.3">
      <c r="B126" s="45" t="s">
        <v>73</v>
      </c>
      <c r="C126" s="46">
        <f>IF(AND(RIGHT(Nb_diam,1)=".",X_j), -X_j, C125 )</f>
        <v>-40</v>
      </c>
      <c r="D126" s="46">
        <f>IF(AND(RIGHT(Nb_diam,1)=".",X_j), D1j/2, D125 )</f>
        <v>45</v>
      </c>
      <c r="E126" s="93">
        <f t="shared" si="0"/>
        <v>-45</v>
      </c>
      <c r="K126" s="46"/>
    </row>
    <row r="127" spans="2:18" x14ac:dyDescent="0.3">
      <c r="B127" s="45" t="s">
        <v>74</v>
      </c>
      <c r="C127" s="46">
        <f>IF(AND(RIGHT(Nb_diam,1)=".",X_j), -X_j-l_j, C126 )</f>
        <v>-228</v>
      </c>
      <c r="D127" s="46">
        <f>IF(AND(RIGHT(Nb_diam,1)=".",X_j), D2j/2, D126 )</f>
        <v>50</v>
      </c>
      <c r="E127" s="93">
        <f t="shared" si="0"/>
        <v>-50</v>
      </c>
      <c r="K127" s="46"/>
    </row>
    <row r="128" spans="2:18" x14ac:dyDescent="0.3">
      <c r="B128" s="45" t="s">
        <v>75</v>
      </c>
      <c r="C128" s="46">
        <f>IF(AND(RIGHT(Nb_diam,1)=".",X_r), -X_r, C127 )</f>
        <v>-500</v>
      </c>
      <c r="D128" s="46">
        <f>IF(AND(RIGHT(Nb_diam,1)=".",X_r), D1r/2, D127 )</f>
        <v>50</v>
      </c>
      <c r="E128" s="93">
        <f t="shared" si="0"/>
        <v>-50</v>
      </c>
      <c r="K128" s="46"/>
    </row>
    <row r="129" spans="2:11" x14ac:dyDescent="0.3">
      <c r="B129" s="45" t="s">
        <v>76</v>
      </c>
      <c r="C129" s="46">
        <f>IF(AND(RIGHT(Nb_diam,1)=".",X_r), -X_r-l_r, C128 )</f>
        <v>-550</v>
      </c>
      <c r="D129" s="46">
        <f>IF(AND(RIGHT(Nb_diam,1)=".",X_r), D2r/2, D128 )</f>
        <v>50</v>
      </c>
      <c r="E129" s="93">
        <f t="shared" si="0"/>
        <v>-50</v>
      </c>
      <c r="K129" s="46"/>
    </row>
    <row r="130" spans="2:11" x14ac:dyDescent="0.3">
      <c r="B130" s="45" t="s">
        <v>77</v>
      </c>
      <c r="C130" s="46">
        <f>-Long_tot</f>
        <v>-2195</v>
      </c>
      <c r="D130" s="46">
        <f>D129</f>
        <v>50</v>
      </c>
      <c r="E130" s="93">
        <f t="shared" si="0"/>
        <v>-50</v>
      </c>
      <c r="K130" s="46"/>
    </row>
    <row r="131" spans="2:11" x14ac:dyDescent="0.3">
      <c r="B131" s="45" t="s">
        <v>77</v>
      </c>
      <c r="C131" s="46">
        <f>-Long_tot</f>
        <v>-2195</v>
      </c>
      <c r="D131" s="46">
        <v>0</v>
      </c>
      <c r="E131" s="93">
        <f t="shared" si="0"/>
        <v>0</v>
      </c>
      <c r="K131" s="46"/>
    </row>
    <row r="132" spans="2:11" x14ac:dyDescent="0.3">
      <c r="B132" s="183" t="s">
        <v>78</v>
      </c>
      <c r="C132" s="197">
        <f>-X_ail+m_ail</f>
        <v>-1905</v>
      </c>
      <c r="D132" s="197">
        <f>D_ail/2</f>
        <v>50</v>
      </c>
      <c r="E132" s="198">
        <f t="shared" si="0"/>
        <v>-50</v>
      </c>
      <c r="K132" s="46"/>
    </row>
    <row r="133" spans="2:11" x14ac:dyDescent="0.3">
      <c r="B133" s="185" t="s">
        <v>79</v>
      </c>
      <c r="C133" s="46">
        <f>-X_ail+m_ail-p_ail</f>
        <v>-1978</v>
      </c>
      <c r="D133" s="46">
        <f>D_ail/2+E_ail</f>
        <v>175</v>
      </c>
      <c r="E133" s="199">
        <f t="shared" si="0"/>
        <v>-175</v>
      </c>
      <c r="K133" s="46"/>
    </row>
    <row r="134" spans="2:11" x14ac:dyDescent="0.3">
      <c r="B134" s="185" t="s">
        <v>80</v>
      </c>
      <c r="C134" s="46">
        <f>-X_ail+m_ail-p_ail-n_ail</f>
        <v>-2128</v>
      </c>
      <c r="D134" s="46">
        <f>D_ail/2+E_ail</f>
        <v>175</v>
      </c>
      <c r="E134" s="199">
        <f t="shared" si="0"/>
        <v>-175</v>
      </c>
      <c r="K134" s="46"/>
    </row>
    <row r="135" spans="2:11" x14ac:dyDescent="0.3">
      <c r="B135" s="185" t="s">
        <v>81</v>
      </c>
      <c r="C135" s="46">
        <f>-X_ail</f>
        <v>-2195</v>
      </c>
      <c r="D135" s="46">
        <f>D_ail/2</f>
        <v>50</v>
      </c>
      <c r="E135" s="199">
        <f t="shared" si="0"/>
        <v>-50</v>
      </c>
      <c r="K135" s="46"/>
    </row>
    <row r="136" spans="2:11" x14ac:dyDescent="0.3">
      <c r="B136" s="187" t="s">
        <v>78</v>
      </c>
      <c r="C136" s="200">
        <f>-X_ail+m_ail</f>
        <v>-1905</v>
      </c>
      <c r="D136" s="200">
        <f>D_ail/2</f>
        <v>50</v>
      </c>
      <c r="E136" s="201">
        <f t="shared" si="0"/>
        <v>-50</v>
      </c>
      <c r="K136" s="46"/>
    </row>
    <row r="137" spans="2:11" x14ac:dyDescent="0.3">
      <c r="B137" s="192" t="str">
        <f>IF(E_ail&gt;0,IF(Lang="Français","Envergure","Span"),"")</f>
        <v>Envergure</v>
      </c>
      <c r="C137" s="197">
        <f>MIN(-X_ail,-X_ail+m_ail-p_ail-n_ail)-Long_tot/30</f>
        <v>-2268.1666666666665</v>
      </c>
      <c r="D137" s="207">
        <f>-D_ail/2-E_ail</f>
        <v>-175</v>
      </c>
      <c r="E137" s="93"/>
      <c r="K137" s="46"/>
    </row>
    <row r="138" spans="2:11" x14ac:dyDescent="0.3">
      <c r="B138" s="195" t="s">
        <v>166</v>
      </c>
      <c r="C138" s="46">
        <f>MIN(-X_ail,-X_ail+m_ail-p_ail-n_ail)-Long_tot/30</f>
        <v>-2268.1666666666665</v>
      </c>
      <c r="D138" s="208">
        <f>-D_ail/2-E_ail/2</f>
        <v>-112.5</v>
      </c>
      <c r="E138" s="93"/>
      <c r="K138" s="46"/>
    </row>
    <row r="139" spans="2:11" x14ac:dyDescent="0.3">
      <c r="B139" s="212" t="s">
        <v>162</v>
      </c>
      <c r="C139" s="200">
        <f>MIN(-X_ail,-X_ail+m_ail-p_ail-n_ail)-Long_tot/30</f>
        <v>-2268.1666666666665</v>
      </c>
      <c r="D139" s="209">
        <f>-D_ail/2</f>
        <v>-50</v>
      </c>
      <c r="E139" s="93"/>
      <c r="K139" s="46"/>
    </row>
    <row r="140" spans="2:11" x14ac:dyDescent="0.3">
      <c r="B140" s="192" t="str">
        <f>IF(Lang="Français","Emplanture","Root edge")</f>
        <v>Emplanture</v>
      </c>
      <c r="C140" s="197">
        <f>-X_ail+m_ail</f>
        <v>-1905</v>
      </c>
      <c r="D140" s="207">
        <f>D_ail/2+E_ail+Long_tot/20</f>
        <v>284.75</v>
      </c>
      <c r="E140" s="93"/>
      <c r="K140" s="46"/>
    </row>
    <row r="141" spans="2:11" x14ac:dyDescent="0.3">
      <c r="B141" s="195" t="s">
        <v>168</v>
      </c>
      <c r="C141" s="46">
        <f>-X_ail+m_ail/2</f>
        <v>-2050</v>
      </c>
      <c r="D141" s="208">
        <f>D_ail/2+E_ail+Long_tot/20</f>
        <v>284.75</v>
      </c>
      <c r="E141" s="93"/>
      <c r="K141" s="46"/>
    </row>
    <row r="142" spans="2:11" x14ac:dyDescent="0.3">
      <c r="B142" s="212" t="s">
        <v>169</v>
      </c>
      <c r="C142" s="200">
        <f>-X_ail</f>
        <v>-2195</v>
      </c>
      <c r="D142" s="209">
        <f>D_ail/2+E_ail+Long_tot/20</f>
        <v>284.75</v>
      </c>
      <c r="E142" s="93"/>
      <c r="K142" s="46"/>
    </row>
    <row r="143" spans="2:11" x14ac:dyDescent="0.3">
      <c r="B143" s="192" t="str">
        <f>IF(p_ail&lt;&gt;0,IF(Lang="Français","Flèche","Offset"),"")</f>
        <v>Flèche</v>
      </c>
      <c r="C143" s="197">
        <f>-X_ail+m_ail</f>
        <v>-1905</v>
      </c>
      <c r="D143" s="207">
        <f>-D_ail/2-E_ail-Long_tot/30</f>
        <v>-248.16666666666669</v>
      </c>
      <c r="E143" s="93"/>
      <c r="K143" s="46"/>
    </row>
    <row r="144" spans="2:11" x14ac:dyDescent="0.3">
      <c r="B144" s="195" t="s">
        <v>165</v>
      </c>
      <c r="C144" s="46">
        <f>-X_ail+m_ail-p_ail/2</f>
        <v>-1941.5</v>
      </c>
      <c r="D144" s="208">
        <f>-D_ail/2-E_ail-Long_tot/30</f>
        <v>-248.16666666666669</v>
      </c>
      <c r="E144" s="93"/>
      <c r="K144" s="46"/>
    </row>
    <row r="145" spans="2:11" x14ac:dyDescent="0.3">
      <c r="B145" s="212" t="s">
        <v>163</v>
      </c>
      <c r="C145" s="200">
        <f>-X_ail+m_ail-p_ail</f>
        <v>-1978</v>
      </c>
      <c r="D145" s="209">
        <f>-D_ail/2-E_ail-Long_tot/30</f>
        <v>-248.16666666666669</v>
      </c>
      <c r="E145" s="93"/>
      <c r="K145" s="46"/>
    </row>
    <row r="146" spans="2:11" x14ac:dyDescent="0.3">
      <c r="B146" s="192" t="str">
        <f>IF(n_ail&gt;0,IF(Lang="Français","Saumon","Tip edge"),"")</f>
        <v>Saumon</v>
      </c>
      <c r="C146" s="197">
        <f>-X_ail+m_ail-p_ail</f>
        <v>-1978</v>
      </c>
      <c r="D146" s="207">
        <f>-D_ail/2-E_ail-Long_tot/20</f>
        <v>-284.75</v>
      </c>
      <c r="E146" s="93"/>
      <c r="K146" s="46"/>
    </row>
    <row r="147" spans="2:11" x14ac:dyDescent="0.3">
      <c r="B147" s="195" t="s">
        <v>167</v>
      </c>
      <c r="C147" s="46">
        <f>-X_ail+m_ail-p_ail-n_ail/2</f>
        <v>-2053</v>
      </c>
      <c r="D147" s="208">
        <f>-D_ail/2-E_ail-Long_tot/20</f>
        <v>-284.75</v>
      </c>
      <c r="E147" s="93"/>
      <c r="K147" s="46"/>
    </row>
    <row r="148" spans="2:11" x14ac:dyDescent="0.3">
      <c r="B148" s="212" t="s">
        <v>164</v>
      </c>
      <c r="C148" s="200">
        <f>-X_ail+m_ail-p_ail-n_ail</f>
        <v>-2128</v>
      </c>
      <c r="D148" s="209">
        <f>-D_ail/2-E_ail-Long_tot/20</f>
        <v>-284.75</v>
      </c>
      <c r="E148" s="93"/>
      <c r="K148" s="46"/>
    </row>
    <row r="149" spans="2:11" x14ac:dyDescent="0.3">
      <c r="B149" s="183" t="s">
        <v>82</v>
      </c>
      <c r="C149" s="197">
        <f ca="1">-XcgPlein</f>
        <v>-1314.5732270247586</v>
      </c>
      <c r="D149" s="207">
        <v>0</v>
      </c>
      <c r="E149" s="93"/>
      <c r="K149" s="46"/>
    </row>
    <row r="150" spans="2:11" x14ac:dyDescent="0.3">
      <c r="B150" s="187" t="s">
        <v>83</v>
      </c>
      <c r="C150" s="200">
        <f ca="1">-XcgVide</f>
        <v>-1238.9941520467835</v>
      </c>
      <c r="D150" s="209">
        <v>0</v>
      </c>
      <c r="E150" s="93"/>
      <c r="K150" s="46"/>
    </row>
    <row r="151" spans="2:11" x14ac:dyDescent="0.3">
      <c r="B151" s="183" t="s">
        <v>84</v>
      </c>
      <c r="C151" s="197">
        <f>-XCp</f>
        <v>-1764.0810439470758</v>
      </c>
      <c r="D151" s="207">
        <v>0</v>
      </c>
      <c r="E151" s="93"/>
      <c r="K151" s="46"/>
    </row>
    <row r="152" spans="2:11" x14ac:dyDescent="0.3">
      <c r="B152" s="187" t="s">
        <v>84</v>
      </c>
      <c r="C152" s="200">
        <f>-XCp</f>
        <v>-1764.0810439470758</v>
      </c>
      <c r="D152" s="209">
        <f>Cn*D_ref/CritCnmin</f>
        <v>112.99069874698588</v>
      </c>
      <c r="E152" s="93"/>
      <c r="K152" s="46"/>
    </row>
    <row r="153" spans="2:11" x14ac:dyDescent="0.3">
      <c r="B153" s="185" t="s">
        <v>420</v>
      </c>
      <c r="C153" s="46">
        <f>-XCp0</f>
        <v>-1764.0810439470758</v>
      </c>
      <c r="D153" s="208">
        <f>Cn0*D_ref/CritCnmin</f>
        <v>112.99069874698588</v>
      </c>
      <c r="E153" s="93"/>
      <c r="K153" s="46"/>
    </row>
    <row r="154" spans="2:11" x14ac:dyDescent="0.3">
      <c r="B154" s="185" t="s">
        <v>420</v>
      </c>
      <c r="C154" s="46">
        <f>-XCp0</f>
        <v>-1764.0810439470758</v>
      </c>
      <c r="D154" s="208">
        <v>0</v>
      </c>
      <c r="E154" s="93"/>
      <c r="K154" s="46"/>
    </row>
    <row r="155" spans="2:11" x14ac:dyDescent="0.3">
      <c r="B155" s="192" t="str">
        <f>IF(n_ail&gt;0,IF(Lang="Français","Marge Statique","Static Margin"),"")</f>
        <v>Marge Statique</v>
      </c>
      <c r="C155" s="197">
        <f ca="1">(-XcgPlein-XcgVide)/2</f>
        <v>-1276.7836895357709</v>
      </c>
      <c r="D155" s="207">
        <f>-D_ail/2-E_ail-Long_tot/20</f>
        <v>-284.75</v>
      </c>
      <c r="E155" s="93"/>
      <c r="K155" s="46"/>
    </row>
    <row r="156" spans="2:11" x14ac:dyDescent="0.3">
      <c r="B156" s="195" t="s">
        <v>170</v>
      </c>
      <c r="C156" s="46">
        <f ca="1">(C155+C157)/2</f>
        <v>-1520.4323667414233</v>
      </c>
      <c r="D156" s="208">
        <f>-D_ail/2-E_ail-Long_tot/20</f>
        <v>-284.75</v>
      </c>
      <c r="E156" s="93"/>
      <c r="K156" s="46"/>
    </row>
    <row r="157" spans="2:11" x14ac:dyDescent="0.3">
      <c r="B157" s="212" t="s">
        <v>171</v>
      </c>
      <c r="C157" s="200">
        <f>-XCp</f>
        <v>-1764.0810439470758</v>
      </c>
      <c r="D157" s="209">
        <f>-D_ail/2-E_ail-Long_tot/20</f>
        <v>-284.75</v>
      </c>
      <c r="E157" s="93"/>
      <c r="K157" s="46"/>
    </row>
    <row r="158" spans="2:11" x14ac:dyDescent="0.3">
      <c r="B158" s="183" t="s">
        <v>85</v>
      </c>
      <c r="C158" s="197">
        <f>IF(LEFT(Type_masquage,1)="M",0,-X_can+m_can)</f>
        <v>0</v>
      </c>
      <c r="D158" s="197">
        <f>IF(LEFT(Type_masquage,1)="M",0,D_ail/2)</f>
        <v>0</v>
      </c>
      <c r="E158" s="198">
        <f t="shared" ref="E158:E167" si="1">-D158</f>
        <v>0</v>
      </c>
      <c r="K158" s="46"/>
    </row>
    <row r="159" spans="2:11" x14ac:dyDescent="0.3">
      <c r="B159" s="185" t="s">
        <v>86</v>
      </c>
      <c r="C159" s="46">
        <f>IF(LEFT(Type_masquage,1)="M",0,-X_can+m_can-p_can)</f>
        <v>0</v>
      </c>
      <c r="D159" s="46">
        <f>IF(LEFT(Type_masquage,1)="M",0,D_ail/2+E_can)</f>
        <v>0</v>
      </c>
      <c r="E159" s="199">
        <f t="shared" si="1"/>
        <v>0</v>
      </c>
      <c r="K159" s="46"/>
    </row>
    <row r="160" spans="2:11" x14ac:dyDescent="0.3">
      <c r="B160" s="185" t="s">
        <v>87</v>
      </c>
      <c r="C160" s="46">
        <f>IF(LEFT(Type_masquage,1)="M",0,-X_can+m_can-p_can-n_can)</f>
        <v>0</v>
      </c>
      <c r="D160" s="46">
        <f>IF(LEFT(Type_masquage,1)="M",0,D_ail/2+E_can)</f>
        <v>0</v>
      </c>
      <c r="E160" s="199">
        <f t="shared" si="1"/>
        <v>0</v>
      </c>
      <c r="K160" s="46"/>
    </row>
    <row r="161" spans="2:11" x14ac:dyDescent="0.3">
      <c r="B161" s="185" t="s">
        <v>88</v>
      </c>
      <c r="C161" s="46">
        <f>IF(LEFT(Type_masquage,1)="M",0,-X_can)</f>
        <v>0</v>
      </c>
      <c r="D161" s="46">
        <f>IF(LEFT(Type_masquage,1)="M",0,D_ail/2)</f>
        <v>0</v>
      </c>
      <c r="E161" s="199">
        <f t="shared" si="1"/>
        <v>0</v>
      </c>
      <c r="K161" s="46"/>
    </row>
    <row r="162" spans="2:11" x14ac:dyDescent="0.3">
      <c r="B162" s="187" t="s">
        <v>85</v>
      </c>
      <c r="C162" s="200">
        <f>IF(LEFT(Type_masquage,1)="M",0,-X_can+m_can)</f>
        <v>0</v>
      </c>
      <c r="D162" s="200">
        <f>IF(LEFT(Type_masquage,1)="M",0,D_ail/2)</f>
        <v>0</v>
      </c>
      <c r="E162" s="201">
        <f t="shared" si="1"/>
        <v>0</v>
      </c>
      <c r="K162" s="46"/>
    </row>
    <row r="163" spans="2:11" x14ac:dyDescent="0.3">
      <c r="B163" s="183" t="s">
        <v>89</v>
      </c>
      <c r="C163" s="197">
        <f>IF(LEFT(Type_masquage,1)="B",-X_int+m_int,0)</f>
        <v>0</v>
      </c>
      <c r="D163" s="197">
        <f>IF(LEFT(Type_masquage,1)="B",D_int/2,0)</f>
        <v>0</v>
      </c>
      <c r="E163" s="198">
        <f t="shared" si="1"/>
        <v>0</v>
      </c>
      <c r="K163" s="46"/>
    </row>
    <row r="164" spans="2:11" x14ac:dyDescent="0.3">
      <c r="B164" s="185" t="s">
        <v>90</v>
      </c>
      <c r="C164" s="46">
        <f>IF(LEFT(Type_masquage,1)="B",-X_int+m_int-p_int,0)</f>
        <v>0</v>
      </c>
      <c r="D164" s="46">
        <f>IF(LEFT(Type_masquage,1)="B",D_int/2+E_int,0)</f>
        <v>0</v>
      </c>
      <c r="E164" s="199">
        <f t="shared" si="1"/>
        <v>0</v>
      </c>
      <c r="K164" s="46"/>
    </row>
    <row r="165" spans="2:11" x14ac:dyDescent="0.3">
      <c r="B165" s="185" t="s">
        <v>91</v>
      </c>
      <c r="C165" s="46">
        <f>IF(LEFT(Type_masquage,1)="B",-X_int+m_int-p_int-n_int,0)</f>
        <v>0</v>
      </c>
      <c r="D165" s="46">
        <f>IF(LEFT(Type_masquage,1)="B",D_int/2+E_int,0)</f>
        <v>0</v>
      </c>
      <c r="E165" s="199">
        <f t="shared" si="1"/>
        <v>0</v>
      </c>
      <c r="K165" s="46"/>
    </row>
    <row r="166" spans="2:11" x14ac:dyDescent="0.3">
      <c r="B166" s="185" t="s">
        <v>92</v>
      </c>
      <c r="C166" s="46">
        <f>IF(LEFT(Type_masquage,1)="B",-X_int,0)</f>
        <v>0</v>
      </c>
      <c r="D166" s="46">
        <f>IF(LEFT(Type_masquage,1)="B",D_int/2,0)</f>
        <v>0</v>
      </c>
      <c r="E166" s="199">
        <f t="shared" si="1"/>
        <v>0</v>
      </c>
      <c r="K166" s="46"/>
    </row>
    <row r="167" spans="2:11" x14ac:dyDescent="0.3">
      <c r="B167" s="187" t="s">
        <v>89</v>
      </c>
      <c r="C167" s="200">
        <f>IF(LEFT(Type_masquage,1)="B",-X_int+m_int,0)</f>
        <v>0</v>
      </c>
      <c r="D167" s="200">
        <f>IF(LEFT(Type_masquage,1)="B",D_int/2,0)</f>
        <v>0</v>
      </c>
      <c r="E167" s="201">
        <f t="shared" si="1"/>
        <v>0</v>
      </c>
      <c r="K167" s="46"/>
    </row>
    <row r="168" spans="2:11" x14ac:dyDescent="0.3">
      <c r="B168" s="45" t="s">
        <v>93</v>
      </c>
      <c r="C168" s="46">
        <f>-MAX(Long_tot, X_ail-m_ail+p_ail+n_ail, (E_ail+D_ail/2)*3.2)*1.01</f>
        <v>-2216.9499999999998</v>
      </c>
      <c r="D168" s="46">
        <f>MAX(E_ail+D_ail/2, Long_tot/3)</f>
        <v>731.66666666666663</v>
      </c>
      <c r="E168" s="93"/>
      <c r="K168" s="46"/>
    </row>
    <row r="169" spans="2:11" x14ac:dyDescent="0.3">
      <c r="B169" s="45" t="s">
        <v>93</v>
      </c>
      <c r="C169" s="46">
        <f>C168</f>
        <v>-2216.9499999999998</v>
      </c>
      <c r="D169" s="46">
        <f>-D168</f>
        <v>-731.66666666666663</v>
      </c>
      <c r="E169" s="93"/>
      <c r="K169" s="46"/>
    </row>
    <row r="170" spans="2:11" x14ac:dyDescent="0.3">
      <c r="B170" s="183" t="s">
        <v>94</v>
      </c>
      <c r="C170" s="197">
        <f ca="1">-XpropuRef+Long_propu</f>
        <v>-1716</v>
      </c>
      <c r="D170" s="207">
        <f ca="1">-Diam_propu/2</f>
        <v>-27</v>
      </c>
      <c r="E170" s="93"/>
      <c r="K170" s="46"/>
    </row>
    <row r="171" spans="2:11" x14ac:dyDescent="0.3">
      <c r="B171" s="185" t="s">
        <v>95</v>
      </c>
      <c r="C171" s="46">
        <f ca="1">-XpropuRef+Long_propu</f>
        <v>-1716</v>
      </c>
      <c r="D171" s="208">
        <f ca="1">Diam_propu/2</f>
        <v>27</v>
      </c>
      <c r="E171" s="93"/>
      <c r="K171" s="46"/>
    </row>
    <row r="172" spans="2:11" x14ac:dyDescent="0.3">
      <c r="B172" s="185" t="s">
        <v>96</v>
      </c>
      <c r="C172" s="46">
        <f>-XpropuRef</f>
        <v>-2204</v>
      </c>
      <c r="D172" s="208">
        <f ca="1">Diam_propu/2</f>
        <v>27</v>
      </c>
      <c r="E172" s="93"/>
      <c r="K172" s="46"/>
    </row>
    <row r="173" spans="2:11" x14ac:dyDescent="0.3">
      <c r="B173" s="185" t="s">
        <v>97</v>
      </c>
      <c r="C173" s="46">
        <f>-XpropuRef</f>
        <v>-2204</v>
      </c>
      <c r="D173" s="208">
        <f ca="1">-Diam_propu/2</f>
        <v>-27</v>
      </c>
      <c r="E173" s="93"/>
      <c r="K173" s="46"/>
    </row>
    <row r="174" spans="2:11" x14ac:dyDescent="0.3">
      <c r="B174" s="187" t="s">
        <v>98</v>
      </c>
      <c r="C174" s="200">
        <f ca="1">-XpropuRef+Long_propu</f>
        <v>-1716</v>
      </c>
      <c r="D174" s="209">
        <f ca="1">-Diam_propu/2</f>
        <v>-27</v>
      </c>
      <c r="E174" s="93"/>
      <c r="F174" s="192" t="s">
        <v>159</v>
      </c>
      <c r="G174" s="193" t="s">
        <v>160</v>
      </c>
      <c r="H174" s="194" t="s">
        <v>161</v>
      </c>
      <c r="K174" s="46"/>
    </row>
    <row r="175" spans="2:11" x14ac:dyDescent="0.3">
      <c r="B175" s="183" t="s">
        <v>71</v>
      </c>
      <c r="C175" s="197">
        <v>0</v>
      </c>
      <c r="D175" s="197">
        <v>0</v>
      </c>
      <c r="E175" s="198">
        <f t="shared" ref="E175:E180" si="2">-D175</f>
        <v>0</v>
      </c>
      <c r="F175" s="195">
        <v>0</v>
      </c>
      <c r="G175" s="45">
        <v>0</v>
      </c>
      <c r="H175" s="189">
        <v>0</v>
      </c>
      <c r="K175" s="46"/>
    </row>
    <row r="176" spans="2:11" x14ac:dyDescent="0.3">
      <c r="B176" s="185" t="s">
        <v>72</v>
      </c>
      <c r="C176" s="46">
        <f>-Long_ogive*0.1</f>
        <v>-4</v>
      </c>
      <c r="D176" s="46">
        <f>IF(LEFT(Forme_ogive,5)="Parab",H176,IF(LEFT(Forme_ogive,4)="Ogiv",G176,IF(LEFT(Forme_ogive,3)="Con",F176)))</f>
        <v>22.5</v>
      </c>
      <c r="E176" s="199">
        <f t="shared" si="2"/>
        <v>-22.5</v>
      </c>
      <c r="F176" s="185">
        <f>D_og/2*0.1</f>
        <v>4.5</v>
      </c>
      <c r="G176" s="45">
        <f>D_og/2*0.2</f>
        <v>9</v>
      </c>
      <c r="H176" s="189">
        <f>D_og/2*0.5</f>
        <v>22.5</v>
      </c>
      <c r="K176" s="46"/>
    </row>
    <row r="177" spans="2:11" x14ac:dyDescent="0.3">
      <c r="B177" s="185" t="s">
        <v>72</v>
      </c>
      <c r="C177" s="46">
        <f>-Long_ogive/4</f>
        <v>-10</v>
      </c>
      <c r="D177" s="46">
        <f>IF(LEFT(Forme_ogive,5)="Parab",H177,IF(LEFT(Forme_ogive,4)="Ogiv",G177,IF(LEFT(Forme_ogive,3)="Con",F177)))</f>
        <v>31.499999999999996</v>
      </c>
      <c r="E177" s="199">
        <f t="shared" si="2"/>
        <v>-31.499999999999996</v>
      </c>
      <c r="F177" s="185">
        <f>D_og/2*1/4</f>
        <v>11.25</v>
      </c>
      <c r="G177" s="45">
        <f>D_og/2/2</f>
        <v>22.5</v>
      </c>
      <c r="H177" s="189">
        <f>D_og/2*0.7</f>
        <v>31.499999999999996</v>
      </c>
      <c r="K177" s="46"/>
    </row>
    <row r="178" spans="2:11" x14ac:dyDescent="0.3">
      <c r="B178" s="185" t="s">
        <v>72</v>
      </c>
      <c r="C178" s="46">
        <f>-Long_ogive/2</f>
        <v>-20</v>
      </c>
      <c r="D178" s="46">
        <f>IF(LEFT(Forme_ogive,5)="Parab",H178,IF(LEFT(Forme_ogive,4)="Ogiv",G178,IF(LEFT(Forme_ogive,3)="Con",F178)))</f>
        <v>39.6</v>
      </c>
      <c r="E178" s="199">
        <f t="shared" si="2"/>
        <v>-39.6</v>
      </c>
      <c r="F178" s="185">
        <f>D_og/2/2</f>
        <v>22.5</v>
      </c>
      <c r="G178" s="45">
        <f>D_og/2*3/4</f>
        <v>33.75</v>
      </c>
      <c r="H178" s="189">
        <f>D_og/2*0.88</f>
        <v>39.6</v>
      </c>
      <c r="K178" s="46"/>
    </row>
    <row r="179" spans="2:11" x14ac:dyDescent="0.3">
      <c r="B179" s="185" t="s">
        <v>72</v>
      </c>
      <c r="C179" s="46">
        <f>-Long_ogive*3/4</f>
        <v>-30</v>
      </c>
      <c r="D179" s="46">
        <f>IF(LEFT(Forme_ogive,5)="Parab",H179,IF(LEFT(Forme_ogive,4)="Ogiv",G179,IF(LEFT(Forme_ogive,3)="Con",F179)))</f>
        <v>42.75</v>
      </c>
      <c r="E179" s="199">
        <f t="shared" si="2"/>
        <v>-42.75</v>
      </c>
      <c r="F179" s="185">
        <f>D_og/2*3/4</f>
        <v>33.75</v>
      </c>
      <c r="G179" s="45">
        <f>D_og/2*0.9</f>
        <v>40.5</v>
      </c>
      <c r="H179" s="189">
        <f>D_og/2*0.95</f>
        <v>42.75</v>
      </c>
      <c r="K179" s="46"/>
    </row>
    <row r="180" spans="2:11" x14ac:dyDescent="0.3">
      <c r="B180" s="187" t="s">
        <v>72</v>
      </c>
      <c r="C180" s="200">
        <f>-Long_ogive</f>
        <v>-40</v>
      </c>
      <c r="D180" s="200">
        <f>D_og/2</f>
        <v>45</v>
      </c>
      <c r="E180" s="201">
        <f t="shared" si="2"/>
        <v>-45</v>
      </c>
      <c r="F180" s="187">
        <f>D_og/2</f>
        <v>45</v>
      </c>
      <c r="G180" s="196">
        <f>D_og/2</f>
        <v>45</v>
      </c>
      <c r="H180" s="190">
        <f>D_og/2</f>
        <v>45</v>
      </c>
      <c r="K180" s="26"/>
    </row>
    <row r="181" spans="2:11" x14ac:dyDescent="0.3">
      <c r="B181" s="45" t="s">
        <v>99</v>
      </c>
      <c r="C181" s="45" t="s">
        <v>100</v>
      </c>
      <c r="D181" s="183" t="s">
        <v>99</v>
      </c>
      <c r="E181" s="204" t="s">
        <v>100</v>
      </c>
      <c r="K181" s="45"/>
    </row>
    <row r="182" spans="2:11" x14ac:dyDescent="0.3">
      <c r="B182" s="183">
        <v>0</v>
      </c>
      <c r="C182" s="202">
        <f>CritCnmin</f>
        <v>15</v>
      </c>
      <c r="D182" s="185">
        <v>0.5</v>
      </c>
      <c r="E182" s="205">
        <f t="shared" ref="E182:E187" si="3">CritMsCnmin/D182</f>
        <v>80</v>
      </c>
      <c r="K182" s="45"/>
    </row>
    <row r="183" spans="2:11" x14ac:dyDescent="0.3">
      <c r="B183" s="187">
        <v>7</v>
      </c>
      <c r="C183" s="196">
        <f>CritCnmin</f>
        <v>15</v>
      </c>
      <c r="D183" s="185">
        <v>1</v>
      </c>
      <c r="E183" s="205">
        <f t="shared" si="3"/>
        <v>40</v>
      </c>
      <c r="K183" s="45"/>
    </row>
    <row r="184" spans="2:11" x14ac:dyDescent="0.3">
      <c r="B184" s="183">
        <v>0</v>
      </c>
      <c r="C184" s="202">
        <f>CritCnmax</f>
        <v>40</v>
      </c>
      <c r="D184" s="185">
        <v>2</v>
      </c>
      <c r="E184" s="205">
        <f t="shared" si="3"/>
        <v>20</v>
      </c>
      <c r="K184" s="45"/>
    </row>
    <row r="185" spans="2:11" x14ac:dyDescent="0.3">
      <c r="B185" s="187">
        <v>7</v>
      </c>
      <c r="C185" s="196">
        <f>CritCnmax</f>
        <v>40</v>
      </c>
      <c r="D185" s="185">
        <v>3</v>
      </c>
      <c r="E185" s="205">
        <f t="shared" si="3"/>
        <v>13.333333333333334</v>
      </c>
      <c r="K185" s="45"/>
    </row>
    <row r="186" spans="2:11" x14ac:dyDescent="0.3">
      <c r="B186" s="183">
        <f>CritMsmin</f>
        <v>2</v>
      </c>
      <c r="C186" s="202">
        <v>0</v>
      </c>
      <c r="D186" s="185">
        <v>5</v>
      </c>
      <c r="E186" s="205">
        <f t="shared" si="3"/>
        <v>8</v>
      </c>
      <c r="K186" s="45"/>
    </row>
    <row r="187" spans="2:11" x14ac:dyDescent="0.3">
      <c r="B187" s="187">
        <f>CritMsmin</f>
        <v>2</v>
      </c>
      <c r="C187" s="196">
        <v>55</v>
      </c>
      <c r="D187" s="185">
        <v>7</v>
      </c>
      <c r="E187" s="205">
        <f t="shared" si="3"/>
        <v>5.7142857142857144</v>
      </c>
      <c r="K187" s="45"/>
    </row>
    <row r="188" spans="2:11" x14ac:dyDescent="0.3">
      <c r="B188" s="183">
        <f>CritMsmax</f>
        <v>6</v>
      </c>
      <c r="C188" s="202">
        <v>0</v>
      </c>
      <c r="D188" s="185">
        <v>1</v>
      </c>
      <c r="E188" s="205">
        <f t="shared" ref="E188:E193" si="4">CritMsCnmax/D188</f>
        <v>100</v>
      </c>
      <c r="K188" s="45"/>
    </row>
    <row r="189" spans="2:11" x14ac:dyDescent="0.3">
      <c r="B189" s="187">
        <f>CritMsmax</f>
        <v>6</v>
      </c>
      <c r="C189" s="196">
        <v>55</v>
      </c>
      <c r="D189" s="185">
        <v>2</v>
      </c>
      <c r="E189" s="205">
        <f t="shared" si="4"/>
        <v>50</v>
      </c>
      <c r="K189" s="45"/>
    </row>
    <row r="190" spans="2:11" x14ac:dyDescent="0.3">
      <c r="B190" s="191">
        <f ca="1">MS_min</f>
        <v>4.4950781692231727</v>
      </c>
      <c r="C190" s="203">
        <f>Cn</f>
        <v>16.948604812047883</v>
      </c>
      <c r="D190" s="185">
        <v>3</v>
      </c>
      <c r="E190" s="205">
        <f t="shared" si="4"/>
        <v>33.333333333333336</v>
      </c>
      <c r="K190" s="45"/>
    </row>
    <row r="191" spans="2:11" x14ac:dyDescent="0.3">
      <c r="B191" s="512">
        <f ca="1">(XCp0-XcgPlein)/D_ref</f>
        <v>4.4950781692231727</v>
      </c>
      <c r="C191" s="513">
        <f>Cn0</f>
        <v>16.948604812047883</v>
      </c>
      <c r="D191" s="185">
        <v>4</v>
      </c>
      <c r="E191" s="205">
        <f t="shared" si="4"/>
        <v>25</v>
      </c>
      <c r="K191" s="45"/>
    </row>
    <row r="192" spans="2:11" x14ac:dyDescent="0.3">
      <c r="B192" s="512">
        <f ca="1">(XCp0-XcgVide)/D_ref</f>
        <v>5.2508689190029232</v>
      </c>
      <c r="C192" s="513">
        <f>Cn0</f>
        <v>16.948604812047883</v>
      </c>
      <c r="D192" s="185">
        <v>6</v>
      </c>
      <c r="E192" s="205">
        <f t="shared" si="4"/>
        <v>16.666666666666668</v>
      </c>
      <c r="K192" s="45"/>
    </row>
    <row r="193" spans="2:11" x14ac:dyDescent="0.3">
      <c r="B193" s="512">
        <f ca="1">(XCp-XcgVide)/D_ref</f>
        <v>5.2508689190029232</v>
      </c>
      <c r="C193" s="513">
        <f>Cn</f>
        <v>16.948604812047883</v>
      </c>
      <c r="D193" s="187">
        <v>7</v>
      </c>
      <c r="E193" s="206">
        <f t="shared" si="4"/>
        <v>14.285714285714286</v>
      </c>
      <c r="K193" s="45"/>
    </row>
    <row r="194" spans="2:11" x14ac:dyDescent="0.3">
      <c r="B194" s="512">
        <f ca="1">MS_min</f>
        <v>4.4950781692231727</v>
      </c>
      <c r="C194" s="514">
        <f>Cn</f>
        <v>16.948604812047883</v>
      </c>
      <c r="D194" s="45"/>
      <c r="E194" s="92"/>
      <c r="K194" s="45"/>
    </row>
    <row r="195" spans="2:11" x14ac:dyDescent="0.3">
      <c r="B195" s="183">
        <v>0</v>
      </c>
      <c r="C195" s="202">
        <f>(CritCnmin+CritCnmax)/2</f>
        <v>27.5</v>
      </c>
      <c r="D195" s="26"/>
      <c r="E195" s="90"/>
      <c r="K195" s="26"/>
    </row>
    <row r="196" spans="2:11" x14ac:dyDescent="0.3">
      <c r="B196" s="185">
        <f>MAX(CritMsmin,CritMsCnmin/C196)</f>
        <v>2</v>
      </c>
      <c r="C196" s="45">
        <f>(CritCnmin+CritCnmax)/2</f>
        <v>27.5</v>
      </c>
      <c r="D196" s="26"/>
      <c r="E196" s="90"/>
      <c r="K196" s="26"/>
    </row>
    <row r="197" spans="2:11" x14ac:dyDescent="0.3">
      <c r="B197" s="185">
        <f>MIN(CritMsmax,CritMsCnmax/C197)</f>
        <v>3.6363636363636362</v>
      </c>
      <c r="C197" s="189">
        <f>(CritCnmin+CritCnmax)/2</f>
        <v>27.5</v>
      </c>
    </row>
    <row r="198" spans="2:11" x14ac:dyDescent="0.3">
      <c r="B198" s="187">
        <v>7</v>
      </c>
      <c r="C198" s="190">
        <f>(CritCnmin+CritCnmax)/2</f>
        <v>27.5</v>
      </c>
    </row>
    <row r="199" spans="2:11" x14ac:dyDescent="0.3">
      <c r="B199" s="183">
        <f>(CritMsmin+CritMsmax)/2</f>
        <v>4</v>
      </c>
      <c r="C199" s="184">
        <v>0</v>
      </c>
    </row>
    <row r="200" spans="2:11" x14ac:dyDescent="0.3">
      <c r="B200" s="185">
        <f>(CritMsmin+CritMsmax)/2</f>
        <v>4</v>
      </c>
      <c r="C200" s="186">
        <f>MAX(CritCnmin,CritMsCnmin/B200)</f>
        <v>15</v>
      </c>
    </row>
    <row r="201" spans="2:11" x14ac:dyDescent="0.3">
      <c r="B201" s="185">
        <f>(CritMsmin+CritMsmax)/2</f>
        <v>4</v>
      </c>
      <c r="C201" s="186">
        <f>MIN(CritCnmax,CritMsCnmax/B201)</f>
        <v>25</v>
      </c>
    </row>
    <row r="202" spans="2:11" x14ac:dyDescent="0.3">
      <c r="B202" s="187">
        <f>(CritMsmin+CritMsmax)/2</f>
        <v>4</v>
      </c>
      <c r="C202" s="188">
        <v>55</v>
      </c>
    </row>
    <row r="203" spans="2:11" x14ac:dyDescent="0.3">
      <c r="D203" s="474"/>
    </row>
    <row r="204" spans="2:11" x14ac:dyDescent="0.3">
      <c r="B204" s="476" t="s">
        <v>403</v>
      </c>
      <c r="C204" s="31" t="b">
        <f ca="1">(OR(C205:C210))</f>
        <v>1</v>
      </c>
      <c r="D204" s="474"/>
    </row>
    <row r="205" spans="2:11" x14ac:dyDescent="0.3">
      <c r="B205" s="475" t="s">
        <v>400</v>
      </c>
      <c r="C205" s="474" t="b">
        <f ca="1">AND(Type_propu="H2O",RIGHT(Type_fusee,1)=" ")</f>
        <v>0</v>
      </c>
      <c r="D205" s="474"/>
    </row>
    <row r="206" spans="2:11" x14ac:dyDescent="0.3">
      <c r="B206" s="475" t="s">
        <v>118</v>
      </c>
      <c r="C206" s="474" t="b">
        <f ca="1">AND(Type_propu="Fusex",RIGHT(Type_fusee,1)=".")</f>
        <v>1</v>
      </c>
      <c r="D206" s="474"/>
    </row>
    <row r="207" spans="2:11" x14ac:dyDescent="0.3">
      <c r="B207" s="475" t="s">
        <v>401</v>
      </c>
      <c r="C207" s="474" t="b">
        <f ca="1">LEFT(Type_propu,5)=LEFT(Type_fusee,5)</f>
        <v>0</v>
      </c>
      <c r="D207" s="474"/>
    </row>
    <row r="208" spans="2:11" x14ac:dyDescent="0.3">
      <c r="B208" s="475" t="s">
        <v>402</v>
      </c>
      <c r="C208" s="474" t="b">
        <f ca="1">AND(RIGHT(Type_propu,1)="N",LEFT(Type_fusee,4)="Mini")</f>
        <v>0</v>
      </c>
      <c r="D208" s="474"/>
    </row>
    <row r="209" spans="1:3" x14ac:dyDescent="0.3">
      <c r="B209" s="475" t="s">
        <v>404</v>
      </c>
      <c r="C209" s="474" t="b">
        <f ca="1">AND(LEFT(Type_propu,5)="MiniR",LEFT(Type_fusee,1)="R")</f>
        <v>0</v>
      </c>
    </row>
    <row r="210" spans="1:3" x14ac:dyDescent="0.3">
      <c r="B210" s="475" t="s">
        <v>394</v>
      </c>
      <c r="C210" s="474" t="b">
        <f ca="1">AND(LEFT(Type_propu,4)="Mini",LEFT(Type_fusee,1)=",")</f>
        <v>0</v>
      </c>
    </row>
    <row r="223" spans="1:3" x14ac:dyDescent="0.3">
      <c r="A223" s="24" t="s">
        <v>461</v>
      </c>
    </row>
    <row r="226" spans="1:1" x14ac:dyDescent="0.3">
      <c r="A226" s="24" t="s">
        <v>474</v>
      </c>
    </row>
    <row r="228" spans="1:1" x14ac:dyDescent="0.3">
      <c r="A228" s="24" t="s">
        <v>475</v>
      </c>
    </row>
    <row r="230" spans="1:1" x14ac:dyDescent="0.3">
      <c r="A230" s="24" t="s">
        <v>476</v>
      </c>
    </row>
    <row r="232" spans="1:1" x14ac:dyDescent="0.3">
      <c r="A232" s="24" t="s">
        <v>477</v>
      </c>
    </row>
    <row r="233" spans="1:1" x14ac:dyDescent="0.3">
      <c r="A233" s="24" t="s">
        <v>478</v>
      </c>
    </row>
    <row r="234" spans="1:1" x14ac:dyDescent="0.3">
      <c r="A234" s="24" t="s">
        <v>479</v>
      </c>
    </row>
    <row r="235" spans="1:1" x14ac:dyDescent="0.3">
      <c r="A235" s="24" t="s">
        <v>480</v>
      </c>
    </row>
    <row r="236" spans="1:1" x14ac:dyDescent="0.3">
      <c r="A236" s="24" t="s">
        <v>481</v>
      </c>
    </row>
    <row r="237" spans="1:1" x14ac:dyDescent="0.3">
      <c r="A237" s="24" t="s">
        <v>482</v>
      </c>
    </row>
    <row r="238" spans="1:1" x14ac:dyDescent="0.3">
      <c r="A238" s="24" t="s">
        <v>183</v>
      </c>
    </row>
    <row r="239" spans="1:1" x14ac:dyDescent="0.3">
      <c r="A239" s="24" t="s">
        <v>483</v>
      </c>
    </row>
    <row r="240" spans="1:1" x14ac:dyDescent="0.3">
      <c r="A240" s="24" t="s">
        <v>484</v>
      </c>
    </row>
    <row r="241" spans="1:1" x14ac:dyDescent="0.3">
      <c r="A241" s="24" t="s">
        <v>183</v>
      </c>
    </row>
    <row r="242" spans="1:1" x14ac:dyDescent="0.3">
      <c r="A242" s="24" t="s">
        <v>485</v>
      </c>
    </row>
    <row r="244" spans="1:1" x14ac:dyDescent="0.3">
      <c r="A244" s="24" t="s">
        <v>486</v>
      </c>
    </row>
    <row r="246" spans="1:1" x14ac:dyDescent="0.3">
      <c r="A246" s="24" t="s">
        <v>487</v>
      </c>
    </row>
    <row r="248" spans="1:1" x14ac:dyDescent="0.3">
      <c r="A248" s="24" t="s">
        <v>488</v>
      </c>
    </row>
    <row r="249" spans="1:1" x14ac:dyDescent="0.3">
      <c r="A249" s="24" t="s">
        <v>489</v>
      </c>
    </row>
    <row r="250" spans="1:1" x14ac:dyDescent="0.3">
      <c r="A250" s="24" t="s">
        <v>490</v>
      </c>
    </row>
    <row r="251" spans="1:1" x14ac:dyDescent="0.3">
      <c r="A251" s="24" t="s">
        <v>491</v>
      </c>
    </row>
    <row r="252" spans="1:1" x14ac:dyDescent="0.3">
      <c r="A252" s="24" t="s">
        <v>492</v>
      </c>
    </row>
    <row r="254" spans="1:1" x14ac:dyDescent="0.3">
      <c r="A254" s="24" t="s">
        <v>493</v>
      </c>
    </row>
    <row r="255" spans="1:1" x14ac:dyDescent="0.3">
      <c r="A255" s="24" t="s">
        <v>494</v>
      </c>
    </row>
    <row r="256" spans="1:1" x14ac:dyDescent="0.3">
      <c r="A256" s="24" t="s">
        <v>495</v>
      </c>
    </row>
    <row r="257" spans="1:1" x14ac:dyDescent="0.3">
      <c r="A257" s="24" t="s">
        <v>496</v>
      </c>
    </row>
    <row r="258" spans="1:1" x14ac:dyDescent="0.3">
      <c r="A258" s="24" t="s">
        <v>497</v>
      </c>
    </row>
    <row r="261" spans="1:1" x14ac:dyDescent="0.3">
      <c r="A261" s="24" t="s">
        <v>498</v>
      </c>
    </row>
    <row r="262" spans="1:1" x14ac:dyDescent="0.3">
      <c r="A262" s="24" t="s">
        <v>499</v>
      </c>
    </row>
    <row r="263" spans="1:1" x14ac:dyDescent="0.3">
      <c r="A263" s="24" t="s">
        <v>500</v>
      </c>
    </row>
    <row r="264" spans="1:1" x14ac:dyDescent="0.3">
      <c r="A264" s="24" t="s">
        <v>501</v>
      </c>
    </row>
    <row r="265" spans="1:1" x14ac:dyDescent="0.3">
      <c r="A265" s="24" t="s">
        <v>502</v>
      </c>
    </row>
    <row r="267" spans="1:1" x14ac:dyDescent="0.3">
      <c r="A267" s="24" t="s">
        <v>495</v>
      </c>
    </row>
    <row r="268" spans="1:1" x14ac:dyDescent="0.3">
      <c r="A268" s="24" t="s">
        <v>496</v>
      </c>
    </row>
    <row r="269" spans="1:1" x14ac:dyDescent="0.3">
      <c r="A269" s="24" t="s">
        <v>503</v>
      </c>
    </row>
    <row r="272" spans="1:1" x14ac:dyDescent="0.3">
      <c r="A272" s="24" t="s">
        <v>463</v>
      </c>
    </row>
    <row r="273" spans="1:1" x14ac:dyDescent="0.3">
      <c r="A273" s="24" t="s">
        <v>464</v>
      </c>
    </row>
    <row r="275" spans="1:1" x14ac:dyDescent="0.3">
      <c r="A275" s="24" t="s">
        <v>504</v>
      </c>
    </row>
    <row r="277" spans="1:1" x14ac:dyDescent="0.3">
      <c r="A277" s="24" t="s">
        <v>503</v>
      </c>
    </row>
    <row r="280" spans="1:1" x14ac:dyDescent="0.3">
      <c r="A280" s="24" t="s">
        <v>465</v>
      </c>
    </row>
    <row r="281" spans="1:1" x14ac:dyDescent="0.3">
      <c r="A281" s="24" t="s">
        <v>466</v>
      </c>
    </row>
    <row r="282" spans="1:1" x14ac:dyDescent="0.3">
      <c r="A282" s="24" t="s">
        <v>505</v>
      </c>
    </row>
    <row r="283" spans="1:1" x14ac:dyDescent="0.3">
      <c r="A283" s="24" t="s">
        <v>506</v>
      </c>
    </row>
    <row r="284" spans="1:1" x14ac:dyDescent="0.3">
      <c r="A284" s="24" t="s">
        <v>503</v>
      </c>
    </row>
    <row r="285" spans="1:1" x14ac:dyDescent="0.3">
      <c r="A285" s="24" t="s">
        <v>467</v>
      </c>
    </row>
    <row r="287" spans="1:1" x14ac:dyDescent="0.3">
      <c r="A287" s="24" t="s">
        <v>507</v>
      </c>
    </row>
    <row r="288" spans="1:1" x14ac:dyDescent="0.3">
      <c r="A288" s="24" t="s">
        <v>505</v>
      </c>
    </row>
    <row r="289" spans="1:1" x14ac:dyDescent="0.3">
      <c r="A289" s="24" t="s">
        <v>508</v>
      </c>
    </row>
    <row r="291" spans="1:1" x14ac:dyDescent="0.3">
      <c r="A291" s="24" t="s">
        <v>503</v>
      </c>
    </row>
    <row r="294" spans="1:1" x14ac:dyDescent="0.3">
      <c r="A294" s="24" t="s">
        <v>509</v>
      </c>
    </row>
    <row r="295" spans="1:1" x14ac:dyDescent="0.3">
      <c r="A295" s="24" t="s">
        <v>510</v>
      </c>
    </row>
    <row r="296" spans="1:1" x14ac:dyDescent="0.3">
      <c r="A296" s="24" t="s">
        <v>511</v>
      </c>
    </row>
    <row r="298" spans="1:1" x14ac:dyDescent="0.3">
      <c r="A298" s="24" t="s">
        <v>503</v>
      </c>
    </row>
    <row r="301" spans="1:1" x14ac:dyDescent="0.3">
      <c r="A301" s="24" t="s">
        <v>512</v>
      </c>
    </row>
    <row r="302" spans="1:1" x14ac:dyDescent="0.3">
      <c r="A302" s="24" t="s">
        <v>513</v>
      </c>
    </row>
    <row r="304" spans="1:1" x14ac:dyDescent="0.3">
      <c r="A304" s="24" t="s">
        <v>514</v>
      </c>
    </row>
    <row r="305" spans="1:1" x14ac:dyDescent="0.3">
      <c r="A305" s="24" t="s">
        <v>515</v>
      </c>
    </row>
    <row r="306" spans="1:1" x14ac:dyDescent="0.3">
      <c r="A306" s="24" t="s">
        <v>503</v>
      </c>
    </row>
    <row r="309" spans="1:1" x14ac:dyDescent="0.3">
      <c r="A309" s="24" t="s">
        <v>512</v>
      </c>
    </row>
    <row r="310" spans="1:1" x14ac:dyDescent="0.3">
      <c r="A310" s="24" t="s">
        <v>516</v>
      </c>
    </row>
    <row r="311" spans="1:1" x14ac:dyDescent="0.3">
      <c r="A311" s="24" t="s">
        <v>512</v>
      </c>
    </row>
    <row r="312" spans="1:1" x14ac:dyDescent="0.3">
      <c r="A312" s="24" t="s">
        <v>517</v>
      </c>
    </row>
    <row r="314" spans="1:1" x14ac:dyDescent="0.3">
      <c r="A314" s="24" t="s">
        <v>518</v>
      </c>
    </row>
    <row r="316" spans="1:1" x14ac:dyDescent="0.3">
      <c r="A316" s="24" t="s">
        <v>503</v>
      </c>
    </row>
    <row r="319" spans="1:1" x14ac:dyDescent="0.3">
      <c r="A319" s="24" t="s">
        <v>512</v>
      </c>
    </row>
    <row r="320" spans="1:1" x14ac:dyDescent="0.3">
      <c r="A320" s="24" t="s">
        <v>519</v>
      </c>
    </row>
    <row r="321" spans="1:1" x14ac:dyDescent="0.3">
      <c r="A321" s="24" t="s">
        <v>520</v>
      </c>
    </row>
    <row r="322" spans="1:1" x14ac:dyDescent="0.3">
      <c r="A322" s="24" t="s">
        <v>521</v>
      </c>
    </row>
    <row r="324" spans="1:1" x14ac:dyDescent="0.3">
      <c r="A324" s="24" t="s">
        <v>503</v>
      </c>
    </row>
    <row r="326" spans="1:1" x14ac:dyDescent="0.3">
      <c r="A326" s="24" t="s">
        <v>462</v>
      </c>
    </row>
    <row r="329" spans="1:1" x14ac:dyDescent="0.3">
      <c r="A329" s="24" t="s">
        <v>468</v>
      </c>
    </row>
    <row r="330" spans="1:1" x14ac:dyDescent="0.3">
      <c r="A330" s="24" t="s">
        <v>469</v>
      </c>
    </row>
    <row r="331" spans="1:1" x14ac:dyDescent="0.3">
      <c r="A331" s="24" t="s">
        <v>522</v>
      </c>
    </row>
    <row r="332" spans="1:1" x14ac:dyDescent="0.3">
      <c r="A332" s="24" t="s">
        <v>523</v>
      </c>
    </row>
    <row r="333" spans="1:1" x14ac:dyDescent="0.3">
      <c r="A333" s="24" t="s">
        <v>524</v>
      </c>
    </row>
    <row r="334" spans="1:1" x14ac:dyDescent="0.3">
      <c r="A334" s="24" t="s">
        <v>525</v>
      </c>
    </row>
    <row r="335" spans="1:1" x14ac:dyDescent="0.3">
      <c r="A335" s="24" t="s">
        <v>526</v>
      </c>
    </row>
    <row r="336" spans="1:1" x14ac:dyDescent="0.3">
      <c r="A336" s="24" t="s">
        <v>479</v>
      </c>
    </row>
    <row r="337" spans="1:1" x14ac:dyDescent="0.3">
      <c r="A337" s="24" t="s">
        <v>470</v>
      </c>
    </row>
    <row r="340" spans="1:1" x14ac:dyDescent="0.3">
      <c r="A340" s="24" t="s">
        <v>471</v>
      </c>
    </row>
    <row r="342" spans="1:1" x14ac:dyDescent="0.3">
      <c r="A342" s="24" t="s">
        <v>527</v>
      </c>
    </row>
    <row r="343" spans="1:1" x14ac:dyDescent="0.3">
      <c r="A343" s="24" t="s">
        <v>528</v>
      </c>
    </row>
    <row r="344" spans="1:1" x14ac:dyDescent="0.3">
      <c r="A344" s="24" t="s">
        <v>529</v>
      </c>
    </row>
    <row r="345" spans="1:1" x14ac:dyDescent="0.3">
      <c r="A345" s="24" t="s">
        <v>530</v>
      </c>
    </row>
    <row r="346" spans="1:1" x14ac:dyDescent="0.3">
      <c r="A346" s="24" t="s">
        <v>531</v>
      </c>
    </row>
    <row r="347" spans="1:1" x14ac:dyDescent="0.3">
      <c r="A347" s="24" t="s">
        <v>479</v>
      </c>
    </row>
    <row r="348" spans="1:1" x14ac:dyDescent="0.3">
      <c r="A348" s="24" t="s">
        <v>472</v>
      </c>
    </row>
    <row r="349" spans="1:1" x14ac:dyDescent="0.3">
      <c r="A349" s="24" t="s">
        <v>532</v>
      </c>
    </row>
    <row r="350" spans="1:1" x14ac:dyDescent="0.3">
      <c r="A350" s="24" t="s">
        <v>533</v>
      </c>
    </row>
    <row r="352" spans="1:1" x14ac:dyDescent="0.3">
      <c r="A352" s="24" t="s">
        <v>503</v>
      </c>
    </row>
    <row r="355" spans="1:1" x14ac:dyDescent="0.3">
      <c r="A355" s="24" t="s">
        <v>462</v>
      </c>
    </row>
    <row r="361" spans="1:1" x14ac:dyDescent="0.3">
      <c r="A361" s="24" t="s">
        <v>473</v>
      </c>
    </row>
  </sheetData>
  <sheetProtection algorithmName="SHA-512" hashValue="lr7AUTmqQKWCln9lxU/pkY39SNhSvguOSf0niYW80GvK2cC/MbUIRDjvwd1bIGz8aqjd6a7y3D66efnX6zcc6g==" saltValue="kioZ43ZFarxjOdpvjH0yzw==" spinCount="100000" sheet="1" objects="1" scenarios="1"/>
  <dataConsolidate/>
  <mergeCells count="56">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27:D27"/>
    <mergeCell ref="C19:D19"/>
    <mergeCell ref="C20:D20"/>
    <mergeCell ref="O23:P23"/>
    <mergeCell ref="O24:P24"/>
    <mergeCell ref="C23:D23"/>
    <mergeCell ref="C22:D22"/>
    <mergeCell ref="C24:D24"/>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751114</xdr:colOff>
                    <xdr:row>22</xdr:row>
                    <xdr:rowOff>0</xdr:rowOff>
                  </from>
                  <to>
                    <xdr:col>3</xdr:col>
                    <xdr:colOff>898071</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751114</xdr:colOff>
                    <xdr:row>11</xdr:row>
                    <xdr:rowOff>0</xdr:rowOff>
                  </from>
                  <to>
                    <xdr:col>2</xdr:col>
                    <xdr:colOff>898071</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751114</xdr:colOff>
                    <xdr:row>12</xdr:row>
                    <xdr:rowOff>0</xdr:rowOff>
                  </from>
                  <to>
                    <xdr:col>2</xdr:col>
                    <xdr:colOff>898071</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751114</xdr:colOff>
                    <xdr:row>22</xdr:row>
                    <xdr:rowOff>157843</xdr:rowOff>
                  </from>
                  <to>
                    <xdr:col>3</xdr:col>
                    <xdr:colOff>898071</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756557</xdr:colOff>
                    <xdr:row>27</xdr:row>
                    <xdr:rowOff>0</xdr:rowOff>
                  </from>
                  <to>
                    <xdr:col>3</xdr:col>
                    <xdr:colOff>0</xdr:colOff>
                    <xdr:row>28</xdr:row>
                    <xdr:rowOff>5443</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756557</xdr:colOff>
                    <xdr:row>28</xdr:row>
                    <xdr:rowOff>0</xdr:rowOff>
                  </from>
                  <to>
                    <xdr:col>3</xdr:col>
                    <xdr:colOff>0</xdr:colOff>
                    <xdr:row>29</xdr:row>
                    <xdr:rowOff>5443</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756557</xdr:colOff>
                    <xdr:row>28</xdr:row>
                    <xdr:rowOff>163286</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756557</xdr:colOff>
                    <xdr:row>30</xdr:row>
                    <xdr:rowOff>0</xdr:rowOff>
                  </from>
                  <to>
                    <xdr:col>3</xdr:col>
                    <xdr:colOff>0</xdr:colOff>
                    <xdr:row>30</xdr:row>
                    <xdr:rowOff>157843</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756557</xdr:colOff>
                    <xdr:row>31</xdr:row>
                    <xdr:rowOff>0</xdr:rowOff>
                  </from>
                  <to>
                    <xdr:col>2</xdr:col>
                    <xdr:colOff>898071</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756557</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756557</xdr:colOff>
                    <xdr:row>12</xdr:row>
                    <xdr:rowOff>157843</xdr:rowOff>
                  </from>
                  <to>
                    <xdr:col>4</xdr:col>
                    <xdr:colOff>0</xdr:colOff>
                    <xdr:row>13</xdr:row>
                    <xdr:rowOff>157843</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10886</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10886</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topLeftCell="B1" zoomScaleNormal="100" workbookViewId="0">
      <selection activeCell="H36" sqref="H36:I36"/>
    </sheetView>
  </sheetViews>
  <sheetFormatPr defaultColWidth="11.3828125" defaultRowHeight="12.45" x14ac:dyDescent="0.3"/>
  <cols>
    <col min="1" max="1" width="2.15234375" style="1" customWidth="1"/>
    <col min="2" max="2" width="16.15234375" style="1" customWidth="1"/>
    <col min="3" max="4" width="12.84375" style="1" customWidth="1"/>
    <col min="5" max="5" width="2.84375" style="1" customWidth="1"/>
    <col min="6" max="7" width="12.84375" style="1" customWidth="1"/>
    <col min="8" max="13" width="10.84375" style="1" customWidth="1"/>
    <col min="14" max="15" width="2.15234375" style="1" customWidth="1"/>
    <col min="16" max="17" width="14.15234375" style="1" customWidth="1"/>
    <col min="18" max="16384" width="11.3828125" style="1"/>
  </cols>
  <sheetData>
    <row r="1" spans="1:14" x14ac:dyDescent="0.3">
      <c r="A1" s="51"/>
      <c r="B1" s="52"/>
      <c r="C1" s="53"/>
      <c r="D1" s="52"/>
      <c r="E1" s="54"/>
      <c r="F1" s="54"/>
      <c r="G1" s="54"/>
      <c r="H1" s="54"/>
      <c r="I1" s="54"/>
      <c r="J1" s="54"/>
      <c r="K1" s="54"/>
      <c r="L1" s="54"/>
      <c r="M1" s="54"/>
      <c r="N1" s="55"/>
    </row>
    <row r="2" spans="1:14" ht="12.75" customHeight="1" x14ac:dyDescent="0.3">
      <c r="A2" s="56"/>
      <c r="B2" s="2"/>
      <c r="C2" s="598" t="s">
        <v>0</v>
      </c>
      <c r="D2" s="598"/>
      <c r="F2" s="3"/>
      <c r="J2" s="4"/>
      <c r="N2" s="57"/>
    </row>
    <row r="3" spans="1:14" ht="12.75" customHeight="1" x14ac:dyDescent="0.3">
      <c r="A3" s="56"/>
      <c r="B3" s="2"/>
      <c r="C3" s="598"/>
      <c r="D3" s="598"/>
      <c r="H3" s="5"/>
      <c r="J3" s="4"/>
      <c r="N3" s="57"/>
    </row>
    <row r="4" spans="1:14" ht="12.75" customHeight="1" x14ac:dyDescent="0.3">
      <c r="A4" s="56"/>
      <c r="B4" s="2"/>
      <c r="C4" s="603" t="str">
        <f>IF(Lang="Français","Trajectographie de fusée",IF(Lang="English","Rocket Trajectography",""))</f>
        <v>Trajectographie de fusée</v>
      </c>
      <c r="D4" s="603"/>
      <c r="H4" s="5"/>
      <c r="J4" s="4"/>
      <c r="N4" s="57"/>
    </row>
    <row r="5" spans="1:14" ht="12.75" customHeight="1" x14ac:dyDescent="0.3">
      <c r="A5" s="56"/>
      <c r="B5" s="2"/>
      <c r="C5" s="597"/>
      <c r="D5" s="597"/>
      <c r="J5" s="4"/>
      <c r="N5" s="57"/>
    </row>
    <row r="6" spans="1:14" ht="13" customHeight="1" x14ac:dyDescent="0.3">
      <c r="A6" s="56"/>
      <c r="B6" s="87"/>
      <c r="C6" s="602" t="str">
        <f>IF(Lang="Français","Remplir les cases jaunes",IF(Lang="English","Fill-in yellow cells only",""))</f>
        <v>Remplir les cases jaunes</v>
      </c>
      <c r="D6" s="602"/>
      <c r="J6" s="4"/>
      <c r="N6" s="57"/>
    </row>
    <row r="7" spans="1:14" x14ac:dyDescent="0.3">
      <c r="A7" s="56"/>
      <c r="B7" s="6"/>
      <c r="C7" s="599" t="str">
        <f>IF(Lang="Français","Fusée",IF(Lang="English","Rocket",""))</f>
        <v>Fusée</v>
      </c>
      <c r="D7" s="599"/>
      <c r="N7" s="58"/>
    </row>
    <row r="8" spans="1:14" ht="12.75" customHeight="1" x14ac:dyDescent="0.4">
      <c r="A8" s="56"/>
      <c r="B8" s="140" t="str">
        <f>IF(Lang="Français","Nom",IF(Lang="English","Name",""))</f>
        <v>Nom</v>
      </c>
      <c r="C8" s="600" t="str">
        <f>Nom</f>
        <v>Hellfire</v>
      </c>
      <c r="D8" s="600"/>
      <c r="E8" s="5"/>
      <c r="F8" s="5"/>
      <c r="J8" s="4"/>
      <c r="N8" s="57"/>
    </row>
    <row r="9" spans="1:14" ht="12.75" customHeight="1" x14ac:dyDescent="0.4">
      <c r="A9" s="59"/>
      <c r="B9" s="140" t="s">
        <v>4</v>
      </c>
      <c r="C9" s="601" t="str">
        <f>Club</f>
        <v>Acelspace</v>
      </c>
      <c r="D9" s="601"/>
      <c r="F9" s="5"/>
      <c r="N9" s="58"/>
    </row>
    <row r="10" spans="1:14" ht="12.75" customHeight="1" x14ac:dyDescent="0.4">
      <c r="A10" s="59"/>
      <c r="B10" s="141" t="s">
        <v>561</v>
      </c>
      <c r="C10" s="596" t="str">
        <f>Matricule</f>
        <v>FX10</v>
      </c>
      <c r="D10" s="596"/>
      <c r="F10" s="5"/>
      <c r="N10" s="58"/>
    </row>
    <row r="11" spans="1:14" ht="12.75" customHeight="1" x14ac:dyDescent="0.3">
      <c r="A11" s="59"/>
      <c r="B11" s="140" t="str">
        <f>IF(Lang="Français","Masse totale",IF(Lang="English","Total Mass",""))</f>
        <v>Masse totale</v>
      </c>
      <c r="C11" s="625">
        <f ca="1">MassePlein</f>
        <v>9.532</v>
      </c>
      <c r="D11" s="625"/>
      <c r="F11" s="5"/>
      <c r="N11" s="58"/>
    </row>
    <row r="12" spans="1:14" ht="12.75" customHeight="1" x14ac:dyDescent="0.3">
      <c r="A12" s="59"/>
      <c r="B12" s="227" t="str">
        <f>IF(Lang="Français","Propulseur",IF(Lang="English","Motor",""))</f>
        <v>Propulseur</v>
      </c>
      <c r="C12" s="628" t="str">
        <f>Propu</f>
        <v>Pro54-5G WT</v>
      </c>
      <c r="D12" s="629"/>
      <c r="F12" s="5"/>
      <c r="N12" s="58"/>
    </row>
    <row r="13" spans="1:14" ht="12.75" customHeight="1" x14ac:dyDescent="0.3">
      <c r="A13" s="59"/>
      <c r="N13" s="58"/>
    </row>
    <row r="14" spans="1:14" ht="12.75" customHeight="1" x14ac:dyDescent="0.3">
      <c r="A14" s="59"/>
      <c r="B14"/>
      <c r="C14" s="599" t="str">
        <f>IF(Lang="Français","Traînée Aérdynamique",IF(Lang="English","Drag",""))</f>
        <v>Traînée Aérdynamique</v>
      </c>
      <c r="D14" s="599"/>
      <c r="N14" s="58"/>
    </row>
    <row r="15" spans="1:14" ht="12.75" customHeight="1" x14ac:dyDescent="0.3">
      <c r="A15" s="59"/>
      <c r="B15" s="140" t="s">
        <v>40</v>
      </c>
      <c r="C15" s="630">
        <f>(PI()*D_ref^2/4+E_ail*ep_ail*Q_ail)/10^6</f>
        <v>8.8539816339744826E-3</v>
      </c>
      <c r="D15" s="630"/>
      <c r="N15" s="58"/>
    </row>
    <row r="16" spans="1:14" ht="12.75" customHeight="1" x14ac:dyDescent="0.3">
      <c r="A16" s="59"/>
      <c r="B16" s="141" t="s">
        <v>5</v>
      </c>
      <c r="C16" s="623">
        <v>0.7</v>
      </c>
      <c r="D16" s="624"/>
      <c r="N16" s="58"/>
    </row>
    <row r="17" spans="1:18" ht="12.75" customHeight="1" x14ac:dyDescent="0.3">
      <c r="A17" s="59"/>
      <c r="N17" s="58"/>
    </row>
    <row r="18" spans="1:18" ht="12.75" customHeight="1" x14ac:dyDescent="0.3">
      <c r="A18" s="59"/>
      <c r="B18"/>
      <c r="C18" s="599" t="str">
        <f>IF(Lang="Français","Rampe de Lancement",IF(Lang="English","Launch Pad",""))</f>
        <v>Rampe de Lancement</v>
      </c>
      <c r="D18" s="599"/>
      <c r="N18" s="58"/>
    </row>
    <row r="19" spans="1:18" ht="12.75" customHeight="1" x14ac:dyDescent="0.3">
      <c r="A19" s="59"/>
      <c r="B19" s="140" t="str">
        <f>IF(Lang="Français","Longueur",IF(Lang="English","Length",""))</f>
        <v>Longueur</v>
      </c>
      <c r="C19" s="627">
        <f>IF(RIGHT(Type_fusee,1)=".",4, IF(LEFT(Type_fusee,4)="Mini",2.5, IF(LEFT(Type_fusee,5)="Micro",1, IF(RIGHT(Type_fusee,1)=" ",0.1,IF(LEFT(Type_fusee,1)="R",3, 2.5)))))</f>
        <v>4</v>
      </c>
      <c r="D19" s="627"/>
      <c r="N19" s="58"/>
    </row>
    <row r="20" spans="1:18" ht="12.75" customHeight="1" x14ac:dyDescent="0.3">
      <c r="A20" s="59"/>
      <c r="B20" s="140" t="str">
        <f>IF(Lang="Français","Élévation",IF(Lang="English","Angle /horizon",""))</f>
        <v>Élévation</v>
      </c>
      <c r="C20" s="626">
        <v>80</v>
      </c>
      <c r="D20" s="626"/>
      <c r="N20" s="58"/>
    </row>
    <row r="21" spans="1:18" ht="12.75" customHeight="1" x14ac:dyDescent="0.3">
      <c r="A21" s="59"/>
      <c r="B21" s="140" t="s">
        <v>6</v>
      </c>
      <c r="C21" s="627">
        <v>0</v>
      </c>
      <c r="D21" s="627"/>
      <c r="N21" s="58"/>
    </row>
    <row r="22" spans="1:18" x14ac:dyDescent="0.3">
      <c r="A22" s="59"/>
      <c r="F22" s="384"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N22" s="58"/>
    </row>
    <row r="23" spans="1:18" x14ac:dyDescent="0.3">
      <c r="A23" s="59"/>
      <c r="C23" s="613" t="str">
        <f>IF(Lang="Français","DescenteSousParachute",IF(Lang="English","Over Parachute",""))</f>
        <v>DescenteSousParachute</v>
      </c>
      <c r="D23" s="614"/>
      <c r="F23" s="4"/>
      <c r="G23" s="50">
        <f ca="1">TODAY()</f>
        <v>45458</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419</v>
      </c>
      <c r="N23" s="58"/>
    </row>
    <row r="24" spans="1:18" x14ac:dyDescent="0.3">
      <c r="A24" s="59"/>
      <c r="B24"/>
      <c r="C24" s="142" t="str">
        <f>C7</f>
        <v>Fusée</v>
      </c>
      <c r="D24" s="220" t="s">
        <v>120</v>
      </c>
      <c r="E24" s="18" t="str">
        <f>IF(ABS(T_satellite-0.11-T_para)&lt;0.1,"Pb!","")</f>
        <v/>
      </c>
      <c r="F24" s="615" t="str">
        <f>IF(Lang="Français","Sortie de Rampe",IF(Lang="English","Launch-Pad Exit",""))</f>
        <v>Sortie de Rampe</v>
      </c>
      <c r="G24" s="616"/>
      <c r="H24" s="491"/>
      <c r="I24" s="491"/>
      <c r="J24" s="491"/>
      <c r="K24" s="492">
        <f ca="1">INDEX(vit_xz,MATCH("Sortie de rampe",Event,0))</f>
        <v>31.548677347376938</v>
      </c>
      <c r="L24" s="493"/>
      <c r="M24" s="500"/>
      <c r="N24" s="58"/>
    </row>
    <row r="25" spans="1:18" x14ac:dyDescent="0.3">
      <c r="A25" s="59"/>
      <c r="B25" s="466" t="str">
        <f>IF(Lang="Français","Masse",IF(Lang="English","Mass",""))</f>
        <v>Masse</v>
      </c>
      <c r="C25" s="467">
        <f ca="1">IF(Nb_sat="0 satellite",MasseVide,MasseVide-m_satellite)</f>
        <v>8.5500000000000007</v>
      </c>
      <c r="D25" s="480">
        <f>IF(RIGHT(Type_fusee,1)=".",1,0.15)</f>
        <v>1</v>
      </c>
      <c r="F25" s="619" t="str">
        <f>IF(Lang="Français","Vit max &amp; Acc max",IF(Lang="English","Max Velocity &amp; Acc",""))</f>
        <v>Vit max &amp; Acc max</v>
      </c>
      <c r="G25" s="620"/>
      <c r="H25" s="115"/>
      <c r="I25" s="115"/>
      <c r="J25" s="115"/>
      <c r="K25" s="158">
        <f ca="1">MAX(vit_xz)</f>
        <v>194.47396094036492</v>
      </c>
      <c r="L25" s="494">
        <f ca="1">MAX(acc_xz)</f>
        <v>132.83173906443665</v>
      </c>
      <c r="M25" s="500"/>
      <c r="N25" s="58"/>
    </row>
    <row r="26" spans="1:18" x14ac:dyDescent="0.3">
      <c r="A26" s="59"/>
      <c r="B26" s="469" t="str">
        <f>IF(Lang="Français","Dépotage",IF(Lang="English","Delay",""))</f>
        <v>Dépotage</v>
      </c>
      <c r="C26" s="505" t="s">
        <v>405</v>
      </c>
      <c r="D26" s="535"/>
      <c r="F26" s="621" t="str">
        <f>IF(Lang="Français","Largage du satellite",IF(Lang="English","Satellite separation",""))</f>
        <v>Largage du satellite</v>
      </c>
      <c r="G26" s="622"/>
      <c r="H26" s="152">
        <f>IF(T_satellite&lt;&gt;0,T_satellite,"")</f>
        <v>3.5</v>
      </c>
      <c r="I26" s="156">
        <f ca="1">IF(T_satellite&lt;&gt;0,INDEX(pos_z,MATCH("Satellite",Event_sat,0)),"")</f>
        <v>481.13883852313722</v>
      </c>
      <c r="J26" s="154">
        <f ca="1">IF(T_satellite&lt;&gt;0,INDEX(pos_x,MATCH("Satellite",Event_sat,0)),"")</f>
        <v>99.79344534616574</v>
      </c>
      <c r="K26" s="159">
        <f ca="1">IF(T_satellite&lt;&gt;0,INDEX(vit_xz,MATCH("Satellite",Event_sat,0)),"")</f>
        <v>153.40068044229238</v>
      </c>
      <c r="L26" s="495"/>
      <c r="M26" s="485">
        <f ca="1">1/2*Rho_moyen*1*V_ouv_sat^2*S_satellite</f>
        <v>1441.3208365596965</v>
      </c>
      <c r="N26" s="58"/>
    </row>
    <row r="27" spans="1:18" x14ac:dyDescent="0.3">
      <c r="A27" s="59"/>
      <c r="B27" s="468" t="str">
        <f>IF(Lang="Français","Ouverture para",IF(Lang="English","Opening time",""))</f>
        <v>Ouverture para</v>
      </c>
      <c r="C27" s="507">
        <v>16</v>
      </c>
      <c r="D27" s="507">
        <v>3.5</v>
      </c>
      <c r="F27" s="619" t="s">
        <v>15</v>
      </c>
      <c r="G27" s="620"/>
      <c r="H27" s="153">
        <f ca="1">INDEX(t,MATCH("Apogée",Event,0))</f>
        <v>15.399999999999963</v>
      </c>
      <c r="I27" s="157">
        <f ca="1">INDEX(pos_z,MATCH("Apogée",Event,0))</f>
        <v>1273.1404284248381</v>
      </c>
      <c r="J27" s="155">
        <f ca="1">INDEX(pos_x,MATCH("Apogée",Event,0))</f>
        <v>420.1339788956879</v>
      </c>
      <c r="K27" s="160">
        <f ca="1">INDEX(vit_xz,MATCH("Apogée",Event,0))</f>
        <v>23.645575032442181</v>
      </c>
      <c r="L27" s="496"/>
      <c r="M27" s="500"/>
      <c r="N27" s="58"/>
    </row>
    <row r="28" spans="1:18" x14ac:dyDescent="0.3">
      <c r="A28" s="59"/>
      <c r="B28" s="534" t="s">
        <v>556</v>
      </c>
      <c r="C28" s="507" t="s">
        <v>557</v>
      </c>
      <c r="D28" s="507"/>
      <c r="F28" s="617" t="str">
        <f>IF(Lang="Français","Ouverture parachute fusée",IF(Lang="English","Rocket parachute opening",""))</f>
        <v>Ouverture parachute fusée</v>
      </c>
      <c r="G28" s="618"/>
      <c r="H28" s="152">
        <f>T_para</f>
        <v>16</v>
      </c>
      <c r="I28" s="156">
        <f ca="1">INDEX(pos_z,MATCH("Para",Event_para,0))</f>
        <v>1271.7709668379459</v>
      </c>
      <c r="J28" s="486">
        <f ca="1">INDEX(pos_x,MATCH("Para",Event_para,0))</f>
        <v>434.27654027874308</v>
      </c>
      <c r="K28" s="159">
        <f ca="1">INDEX(vit_xz,MATCH("Para",Event_para,0))</f>
        <v>24.077458328185784</v>
      </c>
      <c r="L28" s="495"/>
      <c r="M28" s="485">
        <f ca="1">1/2*Rho_moyen*1*V_ouverture^2*S_para</f>
        <v>706.61108994604933</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3">
      <c r="A29" s="59"/>
      <c r="B29" s="141" t="s">
        <v>9</v>
      </c>
      <c r="C29" s="225">
        <v>1.99</v>
      </c>
      <c r="D29" s="17">
        <f>IF(RIGHT(Type_fusee,1)=".",0.1,0.02)</f>
        <v>0.1</v>
      </c>
      <c r="F29" s="606" t="str">
        <f>IF(Lang="Français","Impact balistique",IF(Lang="English","Balistic Impact",""))</f>
        <v>Impact balistique</v>
      </c>
      <c r="G29" s="607"/>
      <c r="H29" s="497">
        <f ca="1">INDEX(t,MATCH("Impact balistique",Event,0))</f>
        <v>33.1000000000002</v>
      </c>
      <c r="I29" s="517" t="s">
        <v>426</v>
      </c>
      <c r="J29" s="487">
        <f ca="1">INDEX(pos_x,MATCH("Impact balistique",Event,0))</f>
        <v>764.67878961306644</v>
      </c>
      <c r="K29" s="501">
        <f ca="1">K47</f>
        <v>123.95896831445872</v>
      </c>
      <c r="L29" s="498"/>
      <c r="M29" s="502">
        <f ca="1">0.5*m_vide*K29^2</f>
        <v>65688.905404375793</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3">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
      </c>
    </row>
    <row r="31" spans="1:18" x14ac:dyDescent="0.3">
      <c r="A31" s="59"/>
      <c r="B31" s="141" t="str">
        <f>IF(Lang="Français","Vitesse du vent",IF(Lang="English","Wind speed",""))</f>
        <v>Vitesse du vent</v>
      </c>
      <c r="C31" s="144">
        <v>5</v>
      </c>
      <c r="D31" s="144">
        <f>V_vent</f>
        <v>5</v>
      </c>
      <c r="G31" s="483"/>
      <c r="H31" s="484"/>
      <c r="I31" s="488"/>
      <c r="N31" s="58"/>
      <c r="P31" s="384" t="str">
        <f ca="1">IF(OR(AND(Vsortie_de_rampe&lt;20,LEFT(Type_fusee,1)="F"),AND(Vsortie_de_rampe&lt;18, OR(LEFT(Type_fusee,1)=",",LEFT(Type_fusee,4)="Mini",LEFT(Type_fusee,1)="R"))),IF(Lang="Français","Fusée trop lourde ou rampe trop courte !","Rocket too heavy or launch pad too small!"),"")</f>
        <v/>
      </c>
    </row>
    <row r="32" spans="1:18" x14ac:dyDescent="0.3">
      <c r="A32" s="59"/>
      <c r="B32" s="133" t="str">
        <f>IF(Lang="Français","Vitesse descente",IF(Lang="English","Fall velocity",""))</f>
        <v>Vitesse descente</v>
      </c>
      <c r="C32" s="424">
        <f ca="1">SQRT(2*m_vide*g/Rho_moyen/S_para/Cx_para)</f>
        <v>8.2954123010607681</v>
      </c>
      <c r="D32" s="424">
        <f>SQRT(2*m_satellite*g/Rho_moyen/S_satellite/Cx_satellite)</f>
        <v>12.655562623057198</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3">
      <c r="A33" s="59"/>
      <c r="B33" s="133" t="str">
        <f>IF(Lang="Français","Durée descente",IF(Lang="English","Fall duration",""))</f>
        <v>Durée descente</v>
      </c>
      <c r="C33" s="132">
        <f ca="1">Alt_para/V_para</f>
        <v>153.31015755242441</v>
      </c>
      <c r="D33" s="132">
        <f ca="1">IF(V_satellite&lt;&gt;0,Alt_sat/V_satellite,0)</f>
        <v>38.017973033182209</v>
      </c>
      <c r="H33" s="608" t="str">
        <f>IF(Lang="Français","Pour localiser la fusée","To locate the rocket")</f>
        <v>Pour localiser la fusée</v>
      </c>
      <c r="I33" s="608"/>
      <c r="J33" s="482"/>
      <c r="N33" s="395"/>
      <c r="P33" s="384" t="str">
        <f ca="1">IF(ABS(Temps_culmi-T_para)&gt;2,IF(Lang="Français","Attention, aux efforts sur le parachute lors de l'ouverture !","Becarefull to the opening chute efforts!"),"")</f>
        <v/>
      </c>
    </row>
    <row r="34" spans="1:16" customFormat="1" x14ac:dyDescent="0.3">
      <c r="A34" s="59"/>
      <c r="B34" s="133" t="str">
        <f>IF(Lang="Français","Durée du vol",IF(Lang="English","Fligth duration",""))</f>
        <v>Durée du vol</v>
      </c>
      <c r="C34" s="132">
        <f ca="1">T_para+Dt_para</f>
        <v>169.31015755242441</v>
      </c>
      <c r="D34" s="132">
        <f ca="1">T_satellite+Dt_satellite</f>
        <v>41.517973033182209</v>
      </c>
      <c r="F34" s="608" t="str">
        <f>IF(Lang="Français","Couleur fuselage/coiffe","Body/Nose color")</f>
        <v>Couleur fuselage/coiffe</v>
      </c>
      <c r="G34" s="608"/>
      <c r="H34" s="604" t="s">
        <v>571</v>
      </c>
      <c r="I34" s="605"/>
      <c r="J34" s="1"/>
      <c r="K34" s="1"/>
      <c r="L34" s="1"/>
      <c r="M34" s="1"/>
      <c r="N34" s="394"/>
    </row>
    <row r="35" spans="1:16" x14ac:dyDescent="0.3">
      <c r="A35" s="74"/>
      <c r="B35" s="133" t="str">
        <f>IF(Lang="Français","Déport latéral",IF(Lang="English","Lateral shift",""))</f>
        <v>Déport latéral</v>
      </c>
      <c r="C35" s="151">
        <f ca="1">Alt_para*V_vent/V_para</f>
        <v>766.55078776212201</v>
      </c>
      <c r="D35" s="151">
        <f ca="1">IF(V_satellite&lt;&gt;0,Alt_sat*V_vent_sat/V_satellite,0)</f>
        <v>190.08986516591102</v>
      </c>
      <c r="F35" s="608" t="str">
        <f>IF(Lang="Français","Couleur parachute fusée","Rocket parachute color")</f>
        <v>Couleur parachute fusée</v>
      </c>
      <c r="G35" s="608"/>
      <c r="H35" s="604" t="s">
        <v>572</v>
      </c>
      <c r="I35" s="605"/>
      <c r="J35"/>
      <c r="K35"/>
      <c r="L35"/>
      <c r="M35"/>
      <c r="N35" s="394" t="str">
        <f>IF(Lang="Français","fichier initial","Initial file")</f>
        <v>fichier initial</v>
      </c>
      <c r="P35"/>
    </row>
    <row r="36" spans="1:16" x14ac:dyDescent="0.3">
      <c r="A36" s="59"/>
      <c r="F36" s="608" t="str">
        <f>IF(Lang="Français","Couleur parachute satellite","Satellite parachute color")</f>
        <v>Couleur parachute satellite</v>
      </c>
      <c r="G36" s="608"/>
      <c r="H36" s="612" t="s">
        <v>158</v>
      </c>
      <c r="I36" s="612"/>
      <c r="N36" s="393" t="str">
        <f>IF(ROUND(SUM(Propu!5:1228),0)=437735,"propu OK","propu NOK")</f>
        <v>propu OK</v>
      </c>
      <c r="P36"/>
    </row>
    <row r="37" spans="1:16" ht="12.9" thickBot="1" x14ac:dyDescent="0.35">
      <c r="A37" s="60"/>
      <c r="B37" s="181" t="str">
        <f>IF(Lang="Français","Commentaire libre :",IF(Lang="English","Free comment:",""))</f>
        <v>Commentaire libre :</v>
      </c>
      <c r="C37" s="61"/>
      <c r="D37" s="61"/>
      <c r="E37" s="61"/>
      <c r="F37" s="61"/>
      <c r="G37" s="61"/>
      <c r="H37" s="61"/>
      <c r="I37" s="61"/>
      <c r="J37" s="61"/>
      <c r="K37" s="61"/>
      <c r="L37" s="61"/>
      <c r="M37" s="61"/>
      <c r="N37" s="290" t="s">
        <v>565</v>
      </c>
    </row>
    <row r="40" spans="1:16" x14ac:dyDescent="0.3">
      <c r="A40" s="609" t="str">
        <f>IF(Lang="Français","Calcul de la surface d'un parachute","Parachute surface calculation")</f>
        <v>Calcul de la surface d'un parachute</v>
      </c>
      <c r="B40" s="610"/>
      <c r="C40" s="610"/>
      <c r="D40" s="611"/>
      <c r="F40" s="609" t="str">
        <f>IF(Lang="Français","Résultats détaillés","Detailled results")</f>
        <v>Résultats détaillés</v>
      </c>
      <c r="G40" s="611"/>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3">
      <c r="A41" s="161"/>
      <c r="D41" s="162"/>
      <c r="F41" s="172"/>
      <c r="G41" s="173"/>
      <c r="H41" s="171" t="s">
        <v>153</v>
      </c>
      <c r="I41" s="136" t="s">
        <v>38</v>
      </c>
      <c r="J41" s="136" t="s">
        <v>38</v>
      </c>
      <c r="K41" s="136" t="s">
        <v>154</v>
      </c>
      <c r="L41" s="136" t="s">
        <v>7</v>
      </c>
      <c r="M41" s="136" t="s">
        <v>155</v>
      </c>
    </row>
    <row r="42" spans="1:16" x14ac:dyDescent="0.3">
      <c r="A42" s="161"/>
      <c r="D42" s="162"/>
      <c r="F42" s="633" t="str">
        <f>IF(Lang="Français","Décollage",IF(Lang="English","Lift-Off",""))</f>
        <v>Décollage</v>
      </c>
      <c r="G42" s="633"/>
      <c r="H42" s="150">
        <v>0</v>
      </c>
      <c r="I42" s="150">
        <v>0</v>
      </c>
      <c r="J42" s="150">
        <v>0</v>
      </c>
      <c r="K42" s="150">
        <v>0</v>
      </c>
      <c r="L42" s="148" t="s">
        <v>14</v>
      </c>
      <c r="M42" s="149">
        <f>Beta_rampe</f>
        <v>80</v>
      </c>
    </row>
    <row r="43" spans="1:16" x14ac:dyDescent="0.3">
      <c r="A43" s="161"/>
      <c r="B43" s="166" t="str">
        <f>IF(Lang="Français","Bord   'a'","Side length 'a'")</f>
        <v>Bord   'a'</v>
      </c>
      <c r="D43" s="162"/>
      <c r="F43" s="620" t="str">
        <f>IF(Lang="Français","Sortie de Rampe",IF(Lang="English","Launch-Pad Exit",""))</f>
        <v>Sortie de Rampe</v>
      </c>
      <c r="G43" s="620"/>
      <c r="H43" s="115">
        <f ca="1">INDEX(t,MATCH("Sortie de rampe",Event,0))</f>
        <v>0.26000000000000006</v>
      </c>
      <c r="I43" s="115">
        <f ca="1">INDEX(pos_z,MATCH("Sortie de rampe",Event,0))</f>
        <v>3.8256096680122686</v>
      </c>
      <c r="J43" s="115">
        <f ca="1">INDEX(pos_x,MATCH("Sortie de rampe",Event,0))</f>
        <v>0.67452238885991678</v>
      </c>
      <c r="K43" s="116">
        <f ca="1">INDEX(vit_xz,MATCH("Sortie de rampe",Event,0))</f>
        <v>31.548677347376938</v>
      </c>
      <c r="L43" s="116">
        <f ca="1">INDEX(acc_xz,MATCH("Sortie de rampe",Event,0))</f>
        <v>130.45666327406494</v>
      </c>
      <c r="M43" s="116">
        <f ca="1">INDEX(BetaD,MATCH("Sortie de rampe",Event,0))</f>
        <v>80</v>
      </c>
    </row>
    <row r="44" spans="1:16" x14ac:dyDescent="0.3">
      <c r="A44" s="161"/>
      <c r="B44" s="167">
        <v>249</v>
      </c>
      <c r="D44" s="162"/>
      <c r="F44" s="620" t="str">
        <f>IF(Lang="Français","Vit max &amp; Acc max",IF(Lang="English","Max Velocity &amp; Acc",""))</f>
        <v>Vit max &amp; Acc max</v>
      </c>
      <c r="G44" s="620"/>
      <c r="H44" s="115" t="s">
        <v>14</v>
      </c>
      <c r="I44" s="115" t="s">
        <v>14</v>
      </c>
      <c r="J44" s="115" t="s">
        <v>14</v>
      </c>
      <c r="K44" s="117">
        <f ca="1">MAX(vit_xz)</f>
        <v>194.47396094036492</v>
      </c>
      <c r="L44" s="118">
        <f ca="1">MAX(acc_xz)</f>
        <v>132.83173906443665</v>
      </c>
      <c r="M44" s="116" t="s">
        <v>14</v>
      </c>
    </row>
    <row r="45" spans="1:16" x14ac:dyDescent="0.3">
      <c r="A45" s="161"/>
      <c r="B45" s="166" t="str">
        <f>IF(Lang="Français","Coté   'b'","Side width 'b'")</f>
        <v>Coté   'b'</v>
      </c>
      <c r="D45" s="162"/>
      <c r="F45" s="620" t="str">
        <f>IF(Lang="Français","Fin de Propulsion",IF(Lang="English","Motor Burn-Out",""))</f>
        <v>Fin de Propulsion</v>
      </c>
      <c r="G45" s="620"/>
      <c r="H45" s="116">
        <f ca="1">INDEX(t,MATCH("Fin de propulsion",Event,0))</f>
        <v>1.7100000000000013</v>
      </c>
      <c r="I45" s="119">
        <f ca="1">INDEX(pos_z,MATCH("Fin de propulsion",Event,0))</f>
        <v>178.87034592471116</v>
      </c>
      <c r="J45" s="119">
        <f ca="1">INDEX(pos_x,MATCH("Fin de propulsion",Event,0))</f>
        <v>35.089190333136607</v>
      </c>
      <c r="K45" s="119">
        <f ca="1">INDEX(vit_xz,MATCH("Fin de propulsion",Event,0))</f>
        <v>193.88506310382232</v>
      </c>
      <c r="L45" s="116">
        <f ca="1">INDEX(acc_xz,MATCH("Fin de propulsion",Event,0))</f>
        <v>26.127637863237851</v>
      </c>
      <c r="M45" s="116">
        <f ca="1">INDEX(BetaD,MATCH("Fin de propulsion",Event,0))</f>
        <v>78.475861137067142</v>
      </c>
    </row>
    <row r="46" spans="1:16" x14ac:dyDescent="0.3">
      <c r="A46" s="161"/>
      <c r="B46" s="168">
        <v>199</v>
      </c>
      <c r="D46" s="162"/>
      <c r="F46" s="620" t="s">
        <v>15</v>
      </c>
      <c r="G46" s="620"/>
      <c r="H46" s="118">
        <f ca="1">INDEX(t,MATCH("Apogée",Event,0))</f>
        <v>15.399999999999963</v>
      </c>
      <c r="I46" s="117">
        <f ca="1">INDEX(pos_z,MATCH("Apogée",Event,0))</f>
        <v>1273.1404284248381</v>
      </c>
      <c r="J46" s="120">
        <f ca="1">INDEX(pos_x,MATCH("Apogée",Event,0))</f>
        <v>420.1339788956879</v>
      </c>
      <c r="K46" s="120">
        <f ca="1">INDEX(vit_xz,MATCH("Apogée",Event,0))</f>
        <v>23.645575032442181</v>
      </c>
      <c r="L46" s="116">
        <f ca="1">INDEX(acc_xz,MATCH("Apogée",Event,0))</f>
        <v>9.8276553248133212</v>
      </c>
      <c r="M46" s="121">
        <f ca="1">INDEX(BetaD,MATCH("Apogée",Event,0))</f>
        <v>1.5951591127786364</v>
      </c>
    </row>
    <row r="47" spans="1:16" x14ac:dyDescent="0.3">
      <c r="A47" s="161"/>
      <c r="B47" s="169" t="s">
        <v>9</v>
      </c>
      <c r="D47" s="162"/>
      <c r="F47" s="635" t="str">
        <f>IF(Lang="Français","Impact balistique",IF(Lang="English","Balistic Impact",""))</f>
        <v>Impact balistique</v>
      </c>
      <c r="G47" s="635"/>
      <c r="H47" s="116">
        <f ca="1">INDEX(t,MATCH("Impact balistique",Event,0))</f>
        <v>33.1000000000002</v>
      </c>
      <c r="I47" s="148" t="s">
        <v>16</v>
      </c>
      <c r="J47" s="117">
        <f ca="1">INDEX(pos_x,MATCH("Impact balistique",Event,0))</f>
        <v>764.67878961306644</v>
      </c>
      <c r="K47" s="119">
        <f ca="1">INDEX(vit_xz,MATCH("Impact balistique",Event,0))</f>
        <v>123.95896831445872</v>
      </c>
      <c r="L47" s="116">
        <f ca="1">INDEX(acc_xz,MATCH("Impact balistique",Event,0))</f>
        <v>3.1553563061760337</v>
      </c>
      <c r="M47" s="116">
        <f ca="1">INDEX(BetaD,MATCH("Impact balistique",Event,0))</f>
        <v>-83.769389499282482</v>
      </c>
    </row>
    <row r="48" spans="1:16" x14ac:dyDescent="0.3">
      <c r="A48" s="161"/>
      <c r="B48" s="174">
        <f>(4*B44*B46+B44^2)/10^6</f>
        <v>0.26020500000000002</v>
      </c>
      <c r="D48" s="162"/>
      <c r="F48" s="618" t="str">
        <f>IF(Lang="Français","Ouverture parachute fusée",IF(Lang="English","Rocket parachute opening",""))</f>
        <v>Ouverture parachute fusée</v>
      </c>
      <c r="G48" s="618"/>
      <c r="H48" s="122">
        <f>T_para</f>
        <v>16</v>
      </c>
      <c r="I48" s="123">
        <f ca="1">INDEX(pos_z,MATCH("Para",Event_para,0))</f>
        <v>1271.7709668379459</v>
      </c>
      <c r="J48" s="123">
        <f ca="1">INDEX(pos_x,MATCH("Para",Event_para,0))</f>
        <v>434.27654027874308</v>
      </c>
      <c r="K48" s="123">
        <f ca="1">INDEX(vit_xz,MATCH("Para",Event_para,0))</f>
        <v>24.077458328185784</v>
      </c>
      <c r="L48" s="122">
        <f ca="1">INDEX(acc_xz,MATCH("Para",Event_para,0))</f>
        <v>9.7728450717152295</v>
      </c>
      <c r="M48" s="124">
        <f ca="1">INDEX(BetaD,MATCH("Para",Event_para,0))</f>
        <v>-12.515733378202304</v>
      </c>
    </row>
    <row r="49" spans="1:13" x14ac:dyDescent="0.3">
      <c r="A49" s="161"/>
      <c r="D49" s="162"/>
      <c r="F49" s="636" t="str">
        <f>IF(Lang="Français","Impact fusée sous para.",IF(Lang="English","Impact of rocket with para. ",""))</f>
        <v>Impact fusée sous para.</v>
      </c>
      <c r="G49" s="636"/>
      <c r="H49" s="125">
        <f ca="1">T_para+Dt_para</f>
        <v>169.31015755242441</v>
      </c>
      <c r="I49" s="127" t="s">
        <v>16</v>
      </c>
      <c r="J49" s="126" t="str">
        <f ca="1">CONCATENATE(TEXT(X_para-Dx_para,"0")," | ",TEXT(X_para+Dx_para,"0"))</f>
        <v>-332 | 1201</v>
      </c>
      <c r="K49" s="126">
        <f ca="1">V_para</f>
        <v>8.2954123010607681</v>
      </c>
      <c r="L49" s="128">
        <f>g</f>
        <v>9.81</v>
      </c>
      <c r="M49" s="128" t="s">
        <v>14</v>
      </c>
    </row>
    <row r="50" spans="1:13" x14ac:dyDescent="0.3">
      <c r="A50" s="161"/>
      <c r="D50" s="162"/>
      <c r="F50" s="634" t="str">
        <f>IF(Lang="Français","Largage du satellite",IF(Lang="English","Satellite separation",""))</f>
        <v>Largage du satellite</v>
      </c>
      <c r="G50" s="622"/>
      <c r="H50" s="122">
        <f>IF(T_satellite&lt;&gt;0,T_satellite,"")</f>
        <v>3.5</v>
      </c>
      <c r="I50" s="123">
        <f ca="1">IF(T_satellite&lt;&gt;0,INDEX(pos_z,MATCH("Satellite",Event_sat,0)),"")</f>
        <v>481.13883852313722</v>
      </c>
      <c r="J50" s="129">
        <f ca="1">IF(T_satellite&lt;&gt;0,INDEX(pos_x,MATCH("Satellite",Event_sat,0)),"")</f>
        <v>99.79344534616574</v>
      </c>
      <c r="K50" s="123">
        <f ca="1">IF(T_satellite&lt;&gt;0,INDEX(vit_xz,MATCH("Satellite",Event_sat,0)),"")</f>
        <v>153.40068044229238</v>
      </c>
      <c r="L50" s="122">
        <f ca="1">IF(T_satellite&lt;&gt;0,INDEX(acc_xz,MATCH("Satellite",Event_sat,0)),"")</f>
        <v>19.918713338628606</v>
      </c>
      <c r="M50" s="124">
        <f ca="1">IF(T_satellite&lt;&gt;0,INDEX(BetaD,MATCH("Satellite",Event_sat,0)),"")</f>
        <v>77.242074511375932</v>
      </c>
    </row>
    <row r="51" spans="1:13" x14ac:dyDescent="0.3">
      <c r="A51" s="161"/>
      <c r="B51" s="166" t="str">
        <f>IF(Lang="Français","Rayon exterieur","Half-diameter ext")</f>
        <v>Rayon exterieur</v>
      </c>
      <c r="D51" s="162"/>
      <c r="F51" s="631" t="str">
        <f>IF(Lang="Français","Impact du satellite",IF(Lang="English","Satellite impact",""))</f>
        <v>Impact du satellite</v>
      </c>
      <c r="G51" s="632"/>
      <c r="H51" s="125">
        <f ca="1">IF(T_satellite&lt;&gt;0,T_satellite+Dt_satellite,"")</f>
        <v>41.517973033182209</v>
      </c>
      <c r="I51" s="130" t="str">
        <f>IF(T_satellite&lt;&gt;0,"~0","")</f>
        <v>~0</v>
      </c>
      <c r="J51" s="130" t="str">
        <f ca="1">IF(T_satellite&lt;&gt;0,CONCATENATE(TEXT(X_satellite-Dx_sat,"0")," | ",TEXT(X_satellite+Dx_sat,"0")),"")</f>
        <v>-90 | 290</v>
      </c>
      <c r="K51" s="130">
        <f>IF(T_satellite&lt;&gt;0,V_satellite,"")</f>
        <v>12.655562623057198</v>
      </c>
      <c r="L51" s="128">
        <f>IF(T_satellite&lt;&gt;0,g,"")</f>
        <v>9.81</v>
      </c>
      <c r="M51" s="131" t="str">
        <f>IF(T_satellite&lt;&gt;0,"-","")</f>
        <v>-</v>
      </c>
    </row>
    <row r="52" spans="1:13" x14ac:dyDescent="0.3">
      <c r="A52" s="161"/>
      <c r="B52" s="168">
        <v>800</v>
      </c>
      <c r="D52" s="162"/>
    </row>
    <row r="53" spans="1:13" x14ac:dyDescent="0.3">
      <c r="A53" s="161"/>
      <c r="B53" s="166" t="str">
        <f>IF(Lang="Français","Rayon intérieur","Half-diameter int")</f>
        <v>Rayon intérieur</v>
      </c>
      <c r="D53" s="162"/>
    </row>
    <row r="54" spans="1:13" x14ac:dyDescent="0.3">
      <c r="A54" s="161"/>
      <c r="B54" s="168">
        <v>75</v>
      </c>
      <c r="D54" s="162"/>
    </row>
    <row r="55" spans="1:13" x14ac:dyDescent="0.3">
      <c r="A55" s="161"/>
      <c r="B55" s="169" t="s">
        <v>9</v>
      </c>
      <c r="D55" s="162"/>
    </row>
    <row r="56" spans="1:13" x14ac:dyDescent="0.3">
      <c r="A56" s="161"/>
      <c r="B56" s="174">
        <f>PI()*(B52^2-B54^2)/10^6</f>
        <v>1.992947839621025</v>
      </c>
      <c r="D56" s="162"/>
    </row>
    <row r="57" spans="1:13" x14ac:dyDescent="0.3">
      <c r="A57" s="163"/>
      <c r="B57" s="164"/>
      <c r="C57" s="164"/>
      <c r="D57" s="165"/>
    </row>
    <row r="94" spans="2:2" x14ac:dyDescent="0.3">
      <c r="B94" s="24" t="str">
        <f>IF(Lang="Français","Vitesse de descente sous parachute :",IF(Lang="English","Fall velocity over parachute:",""))</f>
        <v>Vitesse de descente sous parachute :</v>
      </c>
    </row>
    <row r="103" spans="2:9" x14ac:dyDescent="0.3">
      <c r="B103" s="24" t="str">
        <f>IF(Lang="Français","Textes pour les listes déroulantes et graphiques :","Texts for drop-down lists &amp; graphics :")</f>
        <v>Textes pour les listes déroulantes et graphiques :</v>
      </c>
    </row>
    <row r="104" spans="2:9" x14ac:dyDescent="0.3">
      <c r="F104" s="221" t="s">
        <v>405</v>
      </c>
      <c r="G104" s="1" t="s">
        <v>412</v>
      </c>
      <c r="I104" s="1" t="s">
        <v>557</v>
      </c>
    </row>
    <row r="105" spans="2:9" x14ac:dyDescent="0.3">
      <c r="B105" s="1" t="s">
        <v>120</v>
      </c>
      <c r="F105" s="477">
        <f ca="1">Combustion+Depotage-9</f>
        <v>-9</v>
      </c>
      <c r="G105" s="478" t="s">
        <v>407</v>
      </c>
      <c r="I105" s="1" t="s">
        <v>558</v>
      </c>
    </row>
    <row r="106" spans="2:9" x14ac:dyDescent="0.3">
      <c r="B106" s="1" t="s">
        <v>121</v>
      </c>
      <c r="F106" s="477">
        <f ca="1">Combustion+Depotage-7</f>
        <v>-7</v>
      </c>
      <c r="G106" s="478" t="s">
        <v>408</v>
      </c>
      <c r="I106" s="1" t="s">
        <v>559</v>
      </c>
    </row>
    <row r="107" spans="2:9" x14ac:dyDescent="0.3">
      <c r="B107" s="1" t="str">
        <f>IF(T_para&gt;0,IF(Lang="Français","Phase ascendante","Climbing phase"),"")</f>
        <v>Phase ascendante</v>
      </c>
      <c r="F107" s="477">
        <f ca="1">Combustion+Depotage-5</f>
        <v>-5</v>
      </c>
      <c r="G107" s="478" t="s">
        <v>409</v>
      </c>
    </row>
    <row r="108" spans="2:9" x14ac:dyDescent="0.3">
      <c r="B108" s="1" t="str">
        <f>IF(Lang="Français","Descente balistique","Balistic fall")</f>
        <v>Descente balistique</v>
      </c>
      <c r="F108" s="477">
        <f ca="1">Combustion+Depotage-3</f>
        <v>-3</v>
      </c>
      <c r="G108" s="478" t="s">
        <v>410</v>
      </c>
    </row>
    <row r="109" spans="2:9" x14ac:dyDescent="0.3">
      <c r="B109" s="1" t="str">
        <f>IF(T_para&gt;0,IF(Lang="Français","Fusée sous parachute","Rocket under parachute"),"")</f>
        <v>Fusée sous parachute</v>
      </c>
      <c r="F109" s="477">
        <f ca="1">Combustion+Depotage</f>
        <v>0</v>
      </c>
      <c r="G109" s="478" t="s">
        <v>411</v>
      </c>
    </row>
    <row r="110" spans="2:9" x14ac:dyDescent="0.3">
      <c r="B110" s="1" t="str">
        <f>IF(AND(Nb_sat="1 satellite",T_satellite&gt;0),IF(Lang="Français","Satellite sous parachute","Satellite over parachute"),"")</f>
        <v/>
      </c>
      <c r="F110" s="479" t="str">
        <f>IF(Lang="Français","autre",IF(Lang="English","other",""))</f>
        <v>autre</v>
      </c>
    </row>
    <row r="111" spans="2:9" x14ac:dyDescent="0.3">
      <c r="B111" s="1" t="str">
        <f>IF(Lang="Français","Trajectoire (x z)","Trajectory (x z)")</f>
        <v>Trajectoire (x z)</v>
      </c>
    </row>
    <row r="112" spans="2:9" x14ac:dyDescent="0.3">
      <c r="B112" s="1" t="str">
        <f>IF(Lang="Français","Portée x [m]","Range x [m]")</f>
        <v>Portée x [m]</v>
      </c>
    </row>
    <row r="113" spans="2:3" x14ac:dyDescent="0.3">
      <c r="B113" s="1" t="str">
        <f>IF(Lang="Français","Temps [s]","Time [s]")</f>
        <v>Temps [s]</v>
      </c>
    </row>
    <row r="114" spans="2:3" x14ac:dyDescent="0.3">
      <c r="B114" s="1" t="str">
        <f>IF(Lang="Français","Altitude z  /  Temps","Altitude z  /  Time")</f>
        <v>Altitude z  /  Temps</v>
      </c>
      <c r="C114" s="1">
        <f>IF(OR(C26=F104,C26=F110),C27,C26)</f>
        <v>16</v>
      </c>
    </row>
    <row r="116" spans="2:3" x14ac:dyDescent="0.3">
      <c r="B116" s="1" t="s">
        <v>406</v>
      </c>
    </row>
    <row r="118" spans="2:3" x14ac:dyDescent="0.3">
      <c r="B118" s="24" t="str">
        <f>IF(Lang="Français","Données pour les graphiques :","Data for plots:")</f>
        <v>Données pour les graphiques :</v>
      </c>
    </row>
    <row r="120" spans="2:3" x14ac:dyDescent="0.3">
      <c r="B120" s="210" t="s">
        <v>47</v>
      </c>
      <c r="C120" s="211" t="s">
        <v>47</v>
      </c>
    </row>
    <row r="121" spans="2:3" x14ac:dyDescent="0.3">
      <c r="B121" s="218">
        <f ca="1">MAX(Altitude_culmi,Portee_balistique)</f>
        <v>1273.1404284248381</v>
      </c>
      <c r="C121" s="216">
        <f ca="1">MAX(Altitude_culmi,Portee_balistique)</f>
        <v>1273.1404284248381</v>
      </c>
    </row>
    <row r="123" spans="2:3" x14ac:dyDescent="0.3">
      <c r="B123" s="210" t="s">
        <v>49</v>
      </c>
      <c r="C123" s="211" t="s">
        <v>45</v>
      </c>
    </row>
    <row r="124" spans="2:3" x14ac:dyDescent="0.3">
      <c r="B124" s="217">
        <f ca="1">X_para</f>
        <v>434.27654027874308</v>
      </c>
      <c r="C124" s="214">
        <f ca="1">Alt_para</f>
        <v>1271.7709668379459</v>
      </c>
    </row>
    <row r="125" spans="2:3" x14ac:dyDescent="0.3">
      <c r="B125" s="217">
        <f ca="1">X_para</f>
        <v>434.27654027874308</v>
      </c>
      <c r="C125" s="214">
        <f ca="1">Alt_para/2</f>
        <v>635.88548341897297</v>
      </c>
    </row>
    <row r="126" spans="2:3" x14ac:dyDescent="0.3">
      <c r="B126" s="217">
        <f ca="1">X_para</f>
        <v>434.27654027874308</v>
      </c>
      <c r="C126" s="214">
        <v>0</v>
      </c>
    </row>
    <row r="127" spans="2:3" x14ac:dyDescent="0.3">
      <c r="B127" s="217">
        <f ca="1">X_para+Alt_para/40</f>
        <v>466.07081444969174</v>
      </c>
      <c r="C127" s="214">
        <f ca="1">Alt_para/20</f>
        <v>63.588548341897294</v>
      </c>
    </row>
    <row r="128" spans="2:3" x14ac:dyDescent="0.3">
      <c r="B128" s="217">
        <f ca="1">X_para</f>
        <v>434.27654027874308</v>
      </c>
      <c r="C128" s="214">
        <v>0</v>
      </c>
    </row>
    <row r="129" spans="2:6" x14ac:dyDescent="0.3">
      <c r="B129" s="217">
        <f ca="1">X_para-Alt_para/40</f>
        <v>402.48226610779443</v>
      </c>
      <c r="C129" s="214">
        <f ca="1">Alt_para/20</f>
        <v>63.588548341897294</v>
      </c>
    </row>
    <row r="130" spans="2:6" x14ac:dyDescent="0.3">
      <c r="B130" s="218">
        <f ca="1">X_para</f>
        <v>434.27654027874308</v>
      </c>
      <c r="C130" s="219">
        <v>0</v>
      </c>
    </row>
    <row r="131" spans="2:6" x14ac:dyDescent="0.3">
      <c r="B131" s="210" t="s">
        <v>48</v>
      </c>
      <c r="C131" s="211" t="s">
        <v>45</v>
      </c>
    </row>
    <row r="132" spans="2:6" x14ac:dyDescent="0.3">
      <c r="B132" s="213">
        <f>T_para</f>
        <v>16</v>
      </c>
      <c r="C132" s="214">
        <f ca="1">Alt_para</f>
        <v>1271.7709668379459</v>
      </c>
    </row>
    <row r="133" spans="2:6" x14ac:dyDescent="0.3">
      <c r="B133" s="213">
        <f ca="1">(B132+B134)/2</f>
        <v>92.655078776212207</v>
      </c>
      <c r="C133" s="214">
        <f ca="1">(C132+C134)/2</f>
        <v>635.88548341897297</v>
      </c>
      <c r="E133" s="232">
        <v>1</v>
      </c>
      <c r="F133" s="233" t="s">
        <v>175</v>
      </c>
    </row>
    <row r="134" spans="2:6" x14ac:dyDescent="0.3">
      <c r="B134" s="213">
        <f ca="1">H49</f>
        <v>169.31015755242441</v>
      </c>
      <c r="C134" s="214">
        <f>0</f>
        <v>0</v>
      </c>
      <c r="E134" s="161">
        <v>1</v>
      </c>
      <c r="F134" s="234" t="s">
        <v>176</v>
      </c>
    </row>
    <row r="135" spans="2:6" x14ac:dyDescent="0.3">
      <c r="B135" s="213">
        <f ca="1">H49+E133*sS/2*zZ_fus-E134*sS*tT_fus</f>
        <v>167.96795626908499</v>
      </c>
      <c r="C135" s="214">
        <f ca="1">Alt_para-V_para*(H49-T_para)+E133*sS*Altitude_culmi/H49*zZ_fus+E134*sS/2*Altitude_culmi/H49*tT_fus</f>
        <v>36.1586331827951</v>
      </c>
      <c r="E135" s="161"/>
      <c r="F135" s="241" t="s">
        <v>177</v>
      </c>
    </row>
    <row r="136" spans="2:6" x14ac:dyDescent="0.3">
      <c r="B136" s="213">
        <f ca="1">H49</f>
        <v>169.31015755242441</v>
      </c>
      <c r="C136" s="214">
        <f ca="1">Alt_para-V_para*(H49-T_para)</f>
        <v>0</v>
      </c>
      <c r="E136" s="235" t="s">
        <v>172</v>
      </c>
      <c r="F136" s="236">
        <f ca="1">T_balistique/10</f>
        <v>3.31000000000002</v>
      </c>
    </row>
    <row r="137" spans="2:6" x14ac:dyDescent="0.3">
      <c r="B137" s="213">
        <f ca="1">H49-E133*sS/2*zZ_fus-E134*sS*tT_fus</f>
        <v>164.65795626908499</v>
      </c>
      <c r="C137" s="214">
        <f ca="1">Alt_para-V_para*(H49-T_para)+E133*sS*Altitude_culmi/H49*zZ_fus-E134*sS/2*Altitude_culmi/H49*tT_fus</f>
        <v>13.620953334704975</v>
      </c>
      <c r="E137" s="235" t="s">
        <v>173</v>
      </c>
      <c r="F137" s="236">
        <f ca="1">(H49-T_para)/H49</f>
        <v>0.90549887714181687</v>
      </c>
    </row>
    <row r="138" spans="2:6" x14ac:dyDescent="0.3">
      <c r="B138" s="215">
        <f ca="1">H49</f>
        <v>169.31015755242441</v>
      </c>
      <c r="C138" s="216">
        <f ca="1">Alt_para-V_para*(H49-T_para)</f>
        <v>0</v>
      </c>
      <c r="E138" s="237" t="s">
        <v>174</v>
      </c>
      <c r="F138" s="238">
        <f ca="1">V_para*(H49-T_para)/Alt_para</f>
        <v>1</v>
      </c>
    </row>
    <row r="140" spans="2:6" x14ac:dyDescent="0.3">
      <c r="B140" s="210" t="s">
        <v>51</v>
      </c>
      <c r="C140" s="211" t="s">
        <v>46</v>
      </c>
    </row>
    <row r="141" spans="2:6" x14ac:dyDescent="0.3">
      <c r="B141" s="217" t="b">
        <f>IF(Nb_sat="1 satellite",X_satellite)</f>
        <v>0</v>
      </c>
      <c r="C141" s="214" t="b">
        <f>IF(Nb_sat="1 satellite",Alt_sat)</f>
        <v>0</v>
      </c>
    </row>
    <row r="142" spans="2:6" x14ac:dyDescent="0.3">
      <c r="B142" s="217" t="b">
        <f>IF(Nb_sat="1 satellite",X_satellite)</f>
        <v>0</v>
      </c>
      <c r="C142" s="214" t="b">
        <f>IF(Nb_sat="1 satellite",Alt_sat*1/4)</f>
        <v>0</v>
      </c>
    </row>
    <row r="143" spans="2:6" x14ac:dyDescent="0.3">
      <c r="B143" s="217" t="b">
        <f>IF(Nb_sat="1 satellite",X_satellite)</f>
        <v>0</v>
      </c>
      <c r="C143" s="214" t="b">
        <f>IF(Nb_sat="1 satellite",0)</f>
        <v>0</v>
      </c>
    </row>
    <row r="144" spans="2:6" x14ac:dyDescent="0.3">
      <c r="B144" s="217" t="b">
        <f>IF(Nb_sat="1 satellite",X_satellite+Alt_sat/40)</f>
        <v>0</v>
      </c>
      <c r="C144" s="214" t="b">
        <f>IF(Nb_sat="1 satellite",Alt_sat/20)</f>
        <v>0</v>
      </c>
    </row>
    <row r="145" spans="2:6" x14ac:dyDescent="0.3">
      <c r="B145" s="217" t="b">
        <f>IF(Nb_sat="1 satellite",X_satellite)</f>
        <v>0</v>
      </c>
      <c r="C145" s="214" t="b">
        <f>IF(Nb_sat="1 satellite",0)</f>
        <v>0</v>
      </c>
    </row>
    <row r="146" spans="2:6" x14ac:dyDescent="0.3">
      <c r="B146" s="217" t="b">
        <f>IF(Nb_sat="1 satellite",X_satellite-Alt_sat/40)</f>
        <v>0</v>
      </c>
      <c r="C146" s="214" t="b">
        <f>IF(Nb_sat="1 satellite",Alt_sat/20)</f>
        <v>0</v>
      </c>
    </row>
    <row r="147" spans="2:6" x14ac:dyDescent="0.3">
      <c r="B147" s="218" t="b">
        <f>IF(Nb_sat="1 satellite",X_satellite)</f>
        <v>0</v>
      </c>
      <c r="C147" s="214" t="b">
        <f>IF(Nb_sat="1 satellite",0)</f>
        <v>0</v>
      </c>
    </row>
    <row r="148" spans="2:6" x14ac:dyDescent="0.3">
      <c r="B148" s="210" t="s">
        <v>50</v>
      </c>
      <c r="C148" s="211" t="s">
        <v>46</v>
      </c>
    </row>
    <row r="149" spans="2:6" x14ac:dyDescent="0.3">
      <c r="B149" s="213" t="b">
        <f>IF(Nb_sat="1 satellite",T_satellite)</f>
        <v>0</v>
      </c>
      <c r="C149" s="214" t="b">
        <f>IF(Nb_sat="1 satellite",Alt_sat)</f>
        <v>0</v>
      </c>
      <c r="D149" s="221"/>
    </row>
    <row r="150" spans="2:6" x14ac:dyDescent="0.3">
      <c r="B150" s="213">
        <f>(B149+B151)/2</f>
        <v>0</v>
      </c>
      <c r="C150" s="214">
        <f>(C149+C151)/2</f>
        <v>0</v>
      </c>
      <c r="D150" s="221"/>
    </row>
    <row r="151" spans="2:6" x14ac:dyDescent="0.3">
      <c r="B151" s="213" t="b">
        <f>IF(Nb_sat="1 satellite",H51)</f>
        <v>0</v>
      </c>
      <c r="C151" s="214" t="b">
        <f>IF(Nb_sat="1 satellite",0)</f>
        <v>0</v>
      </c>
    </row>
    <row r="152" spans="2:6" x14ac:dyDescent="0.3">
      <c r="B152" s="213" t="b">
        <f>IF(Nb_sat="1 satellite",H51+E133*sS/2*zZ_sat-E134*sS*tT_sat)</f>
        <v>0</v>
      </c>
      <c r="C152" s="214" t="b">
        <f>IF(Nb_sat="1 satellite",Alt_sat-V_satellite*(H51-T_satellite)+E133*sS*Altitude_culmi/H51*zZ_sat+E134*sS/2*Altitude_culmi/H51*tT_sat)</f>
        <v>0</v>
      </c>
      <c r="D152" s="221"/>
    </row>
    <row r="153" spans="2:6" x14ac:dyDescent="0.3">
      <c r="B153" s="213" t="b">
        <f>IF(Nb_sat="1 satellite",H51)</f>
        <v>0</v>
      </c>
      <c r="C153" s="214" t="b">
        <f>IF(Nb_sat="1 satellite",0)</f>
        <v>0</v>
      </c>
    </row>
    <row r="154" spans="2:6" x14ac:dyDescent="0.3">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0.89425981873111848</v>
      </c>
    </row>
    <row r="155" spans="2:6" x14ac:dyDescent="0.3">
      <c r="B155" s="215" t="b">
        <f>IF(Nb_sat="1 satellite",H51)</f>
        <v>0</v>
      </c>
      <c r="C155" s="216" t="b">
        <f>IF(Nb_sat="1 satellite",0)</f>
        <v>0</v>
      </c>
      <c r="E155" s="237" t="s">
        <v>174</v>
      </c>
      <c r="F155" s="238">
        <f ca="1">V_satellite*(T_balistique-T_satellite)/Alt_sat</f>
        <v>0.77857912030620968</v>
      </c>
    </row>
    <row r="157" spans="2:6" x14ac:dyDescent="0.3">
      <c r="B157" s="210" t="s">
        <v>2</v>
      </c>
      <c r="C157" s="228" t="s">
        <v>29</v>
      </c>
      <c r="D157" s="211" t="s">
        <v>3</v>
      </c>
    </row>
    <row r="158" spans="2:6" x14ac:dyDescent="0.3">
      <c r="B158" s="231">
        <f>T_para/4</f>
        <v>4</v>
      </c>
      <c r="C158" s="82">
        <f ca="1">Alt_para/2</f>
        <v>635.88548341897297</v>
      </c>
      <c r="D158" s="214">
        <f ca="1">X_para/4</f>
        <v>108.56913506968577</v>
      </c>
    </row>
    <row r="159" spans="2:6" x14ac:dyDescent="0.3">
      <c r="B159" s="229">
        <f ca="1">Temps_culmi + (T_balistique-Temps_culmi)/2</f>
        <v>24.250000000000082</v>
      </c>
      <c r="C159" s="230">
        <f ca="1">Altitude_culmi/2</f>
        <v>636.57021421241905</v>
      </c>
      <c r="D159" s="216">
        <f ca="1">X_culmi+(Portee_balistique-X_culmi)*2/3</f>
        <v>649.83051937394021</v>
      </c>
    </row>
    <row r="161" spans="2:6" x14ac:dyDescent="0.3">
      <c r="B161" s="210" t="s">
        <v>302</v>
      </c>
      <c r="C161" s="228" t="s">
        <v>301</v>
      </c>
      <c r="D161" s="422" t="s">
        <v>303</v>
      </c>
    </row>
    <row r="162" spans="2:6" x14ac:dyDescent="0.3">
      <c r="B162" s="231" t="e">
        <f ca="1">IF(AND(Altitude_culmi&gt;80, Altitude_culmi&lt;=350), 49, NA())</f>
        <v>#N/A</v>
      </c>
      <c r="C162" s="5">
        <v>0</v>
      </c>
      <c r="D162" s="82">
        <f t="shared" ref="D162:D177" ca="1" si="0">X_culmi+C162</f>
        <v>420.1339788956879</v>
      </c>
      <c r="E162" s="422"/>
      <c r="F162" s="423" t="s">
        <v>303</v>
      </c>
    </row>
    <row r="163" spans="2:6" x14ac:dyDescent="0.3">
      <c r="B163" s="231" t="e">
        <f ca="1">IF(AND(Altitude_culmi&gt;80, Altitude_culmi&lt;=350), 49, NA())</f>
        <v>#N/A</v>
      </c>
      <c r="C163" s="5">
        <v>23</v>
      </c>
      <c r="D163" s="82">
        <f t="shared" ca="1" si="0"/>
        <v>443.1339788956879</v>
      </c>
      <c r="E163" s="82"/>
      <c r="F163" s="214">
        <f t="shared" ref="F163:F178" ca="1" si="1">X_culmi-C162</f>
        <v>420.1339788956879</v>
      </c>
    </row>
    <row r="164" spans="2:6" x14ac:dyDescent="0.3">
      <c r="B164" s="231" t="e">
        <f ca="1">IF(AND(Altitude_culmi&gt;80, Altitude_culmi&lt;=350), 43, NA())</f>
        <v>#N/A</v>
      </c>
      <c r="C164" s="5">
        <v>23</v>
      </c>
      <c r="D164" s="82">
        <f t="shared" ca="1" si="0"/>
        <v>443.1339788956879</v>
      </c>
      <c r="E164" s="82"/>
      <c r="F164" s="214">
        <f t="shared" ca="1" si="1"/>
        <v>397.1339788956879</v>
      </c>
    </row>
    <row r="165" spans="2:6" x14ac:dyDescent="0.3">
      <c r="B165" s="231" t="e">
        <f ca="1">IF(AND(Altitude_culmi&gt;80, Altitude_culmi&lt;=350), 43, NA())</f>
        <v>#N/A</v>
      </c>
      <c r="C165" s="5">
        <v>0</v>
      </c>
      <c r="D165" s="82">
        <f t="shared" ca="1" si="0"/>
        <v>420.1339788956879</v>
      </c>
      <c r="E165" s="82"/>
      <c r="F165" s="214">
        <f t="shared" ca="1" si="1"/>
        <v>397.1339788956879</v>
      </c>
    </row>
    <row r="166" spans="2:6" x14ac:dyDescent="0.3">
      <c r="B166" s="231" t="e">
        <f ca="1">IF(AND(Altitude_culmi&gt;80, Altitude_culmi&lt;=350), 43, NA())</f>
        <v>#N/A</v>
      </c>
      <c r="C166" s="5">
        <v>23</v>
      </c>
      <c r="D166" s="82">
        <f t="shared" ca="1" si="0"/>
        <v>443.1339788956879</v>
      </c>
      <c r="E166" s="82"/>
      <c r="F166" s="214">
        <f t="shared" ca="1" si="1"/>
        <v>420.1339788956879</v>
      </c>
    </row>
    <row r="167" spans="2:6" x14ac:dyDescent="0.3">
      <c r="B167" s="231" t="e">
        <f ca="1">IF(AND(Altitude_culmi&gt;80, Altitude_culmi&lt;=350), 0.5, NA())</f>
        <v>#N/A</v>
      </c>
      <c r="C167" s="5">
        <v>23</v>
      </c>
      <c r="D167" s="82">
        <f t="shared" ca="1" si="0"/>
        <v>443.1339788956879</v>
      </c>
      <c r="E167" s="82"/>
      <c r="F167" s="214">
        <f t="shared" ca="1" si="1"/>
        <v>397.1339788956879</v>
      </c>
    </row>
    <row r="168" spans="2:6" x14ac:dyDescent="0.3">
      <c r="B168" s="231" t="e">
        <f ca="1">IF(AND(Altitude_culmi&gt;80, Altitude_culmi&lt;=350), 0.5, NA())</f>
        <v>#N/A</v>
      </c>
      <c r="C168" s="5">
        <v>8</v>
      </c>
      <c r="D168" s="82">
        <f t="shared" ca="1" si="0"/>
        <v>428.1339788956879</v>
      </c>
      <c r="E168" s="82"/>
      <c r="F168" s="214">
        <f t="shared" ca="1" si="1"/>
        <v>397.1339788956879</v>
      </c>
    </row>
    <row r="169" spans="2:6" x14ac:dyDescent="0.3">
      <c r="B169" s="231" t="e">
        <f ca="1">IF(AND(Altitude_culmi&gt;80, Altitude_culmi&lt;=350), 27, NA())</f>
        <v>#N/A</v>
      </c>
      <c r="C169" s="5">
        <v>8</v>
      </c>
      <c r="D169" s="82">
        <f t="shared" ca="1" si="0"/>
        <v>428.1339788956879</v>
      </c>
      <c r="E169" s="82"/>
      <c r="F169" s="214">
        <f t="shared" ca="1" si="1"/>
        <v>412.1339788956879</v>
      </c>
    </row>
    <row r="170" spans="2:6" x14ac:dyDescent="0.3">
      <c r="B170" s="231" t="e">
        <f ca="1">IF(AND(Altitude_culmi&gt;80, Altitude_culmi&lt;=350), 27, NA())</f>
        <v>#N/A</v>
      </c>
      <c r="C170" s="5">
        <v>23</v>
      </c>
      <c r="D170" s="82">
        <f t="shared" ca="1" si="0"/>
        <v>443.1339788956879</v>
      </c>
      <c r="E170" s="82"/>
      <c r="F170" s="214">
        <f t="shared" ca="1" si="1"/>
        <v>412.1339788956879</v>
      </c>
    </row>
    <row r="171" spans="2:6" x14ac:dyDescent="0.3">
      <c r="B171" s="231" t="e">
        <f ca="1">IF(AND(Altitude_culmi&gt;80, Altitude_culmi&lt;=350), 27, NA())</f>
        <v>#N/A</v>
      </c>
      <c r="C171" s="5">
        <v>8</v>
      </c>
      <c r="D171" s="82">
        <f t="shared" ca="1" si="0"/>
        <v>428.1339788956879</v>
      </c>
      <c r="E171" s="82"/>
      <c r="F171" s="214">
        <f t="shared" ca="1" si="1"/>
        <v>397.1339788956879</v>
      </c>
    </row>
    <row r="172" spans="2:6" x14ac:dyDescent="0.3">
      <c r="B172" s="231" t="e">
        <f ca="1">IF(AND(Altitude_culmi&gt;80, Altitude_culmi&lt;=350), 29, NA())</f>
        <v>#N/A</v>
      </c>
      <c r="C172" s="5">
        <v>7.6</v>
      </c>
      <c r="D172" s="82">
        <f t="shared" ca="1" si="0"/>
        <v>427.73397889568793</v>
      </c>
      <c r="E172" s="82"/>
      <c r="F172" s="214">
        <f t="shared" ca="1" si="1"/>
        <v>412.1339788956879</v>
      </c>
    </row>
    <row r="173" spans="2:6" x14ac:dyDescent="0.3">
      <c r="B173" s="231" t="e">
        <f ca="1">IF(AND(Altitude_culmi&gt;80, Altitude_culmi&lt;=350), 31, NA())</f>
        <v>#N/A</v>
      </c>
      <c r="C173" s="5">
        <v>6.8</v>
      </c>
      <c r="D173" s="82">
        <f t="shared" ca="1" si="0"/>
        <v>426.93397889568791</v>
      </c>
      <c r="E173" s="82"/>
      <c r="F173" s="214">
        <f t="shared" ca="1" si="1"/>
        <v>412.53397889568788</v>
      </c>
    </row>
    <row r="174" spans="2:6" x14ac:dyDescent="0.3">
      <c r="B174" s="231" t="e">
        <f ca="1">IF(AND(Altitude_culmi&gt;80, Altitude_culmi&lt;=350), 32, NA())</f>
        <v>#N/A</v>
      </c>
      <c r="C174" s="5">
        <v>6</v>
      </c>
      <c r="D174" s="82">
        <f t="shared" ca="1" si="0"/>
        <v>426.1339788956879</v>
      </c>
      <c r="E174" s="82"/>
      <c r="F174" s="214">
        <f t="shared" ca="1" si="1"/>
        <v>413.33397889568789</v>
      </c>
    </row>
    <row r="175" spans="2:6" x14ac:dyDescent="0.3">
      <c r="B175" s="231" t="e">
        <f ca="1">IF(AND(Altitude_culmi&gt;80, Altitude_culmi&lt;=350), 33, NA())</f>
        <v>#N/A</v>
      </c>
      <c r="C175" s="5">
        <v>5</v>
      </c>
      <c r="D175" s="82">
        <f t="shared" ca="1" si="0"/>
        <v>425.1339788956879</v>
      </c>
      <c r="E175" s="82"/>
      <c r="F175" s="214">
        <f t="shared" ca="1" si="1"/>
        <v>414.1339788956879</v>
      </c>
    </row>
    <row r="176" spans="2:6" x14ac:dyDescent="0.3">
      <c r="B176" s="231" t="e">
        <f ca="1">IF(AND(Altitude_culmi&gt;80, Altitude_culmi&lt;=350), 34, NA())</f>
        <v>#N/A</v>
      </c>
      <c r="C176" s="5">
        <v>3.8</v>
      </c>
      <c r="D176" s="82">
        <f t="shared" ca="1" si="0"/>
        <v>423.93397889568791</v>
      </c>
      <c r="E176" s="82"/>
      <c r="F176" s="214">
        <f t="shared" ca="1" si="1"/>
        <v>415.1339788956879</v>
      </c>
    </row>
    <row r="177" spans="2:6" x14ac:dyDescent="0.3">
      <c r="B177" s="229" t="e">
        <f ca="1">IF(AND(Altitude_culmi&gt;80, Altitude_culmi&lt;=350), 35, NA())</f>
        <v>#N/A</v>
      </c>
      <c r="C177" s="421">
        <v>0</v>
      </c>
      <c r="D177" s="230">
        <f t="shared" ca="1" si="0"/>
        <v>420.1339788956879</v>
      </c>
      <c r="E177" s="82"/>
      <c r="F177" s="214">
        <f t="shared" ca="1" si="1"/>
        <v>416.33397889568789</v>
      </c>
    </row>
    <row r="178" spans="2:6" x14ac:dyDescent="0.3">
      <c r="E178" s="230"/>
      <c r="F178" s="216">
        <f t="shared" ca="1" si="1"/>
        <v>420.1339788956879</v>
      </c>
    </row>
    <row r="179" spans="2:6" x14ac:dyDescent="0.3">
      <c r="B179" s="210" t="s">
        <v>304</v>
      </c>
      <c r="C179" s="228" t="s">
        <v>305</v>
      </c>
      <c r="D179" s="228" t="s">
        <v>306</v>
      </c>
    </row>
    <row r="180" spans="2:6" x14ac:dyDescent="0.3">
      <c r="B180" s="231">
        <f ca="1">IF(Altitude_culmi&gt;350, 324, NA())</f>
        <v>324</v>
      </c>
      <c r="C180" s="5">
        <v>0</v>
      </c>
      <c r="D180" s="82">
        <f t="shared" ref="D180:D200" ca="1" si="2">X_culmi+C180</f>
        <v>420.1339788956879</v>
      </c>
      <c r="E180" s="228"/>
      <c r="F180" s="211" t="s">
        <v>306</v>
      </c>
    </row>
    <row r="181" spans="2:6" x14ac:dyDescent="0.3">
      <c r="B181" s="231">
        <f ca="1">IF(Altitude_culmi&gt;350, 300, NA())</f>
        <v>300</v>
      </c>
      <c r="C181" s="5">
        <v>0</v>
      </c>
      <c r="D181" s="82">
        <f t="shared" ca="1" si="2"/>
        <v>420.1339788956879</v>
      </c>
      <c r="E181" s="82"/>
      <c r="F181" s="214">
        <f t="shared" ref="F181:F201" ca="1" si="3">X_culmi-C180</f>
        <v>420.1339788956879</v>
      </c>
    </row>
    <row r="182" spans="2:6" x14ac:dyDescent="0.3">
      <c r="B182" s="231">
        <f ca="1">IF(Altitude_culmi&gt;350, 280, NA())</f>
        <v>280</v>
      </c>
      <c r="C182" s="5">
        <v>10</v>
      </c>
      <c r="D182" s="82">
        <f t="shared" ca="1" si="2"/>
        <v>430.1339788956879</v>
      </c>
      <c r="E182" s="82"/>
      <c r="F182" s="214">
        <f t="shared" ca="1" si="3"/>
        <v>420.1339788956879</v>
      </c>
    </row>
    <row r="183" spans="2:6" x14ac:dyDescent="0.3">
      <c r="B183" s="231">
        <f ca="1">IF(Altitude_culmi&gt;350, 280, NA())</f>
        <v>280</v>
      </c>
      <c r="C183" s="5">
        <v>0</v>
      </c>
      <c r="D183" s="82">
        <f t="shared" ca="1" si="2"/>
        <v>420.1339788956879</v>
      </c>
      <c r="E183" s="82"/>
      <c r="F183" s="214">
        <f t="shared" ca="1" si="3"/>
        <v>410.1339788956879</v>
      </c>
    </row>
    <row r="184" spans="2:6" x14ac:dyDescent="0.3">
      <c r="B184" s="231">
        <f ca="1">IF(Altitude_culmi&gt;350, 280, NA())</f>
        <v>280</v>
      </c>
      <c r="C184" s="5">
        <v>10</v>
      </c>
      <c r="D184" s="82">
        <f t="shared" ca="1" si="2"/>
        <v>430.1339788956879</v>
      </c>
      <c r="E184" s="82"/>
      <c r="F184" s="214">
        <f t="shared" ca="1" si="3"/>
        <v>420.1339788956879</v>
      </c>
    </row>
    <row r="185" spans="2:6" x14ac:dyDescent="0.3">
      <c r="B185" s="231">
        <f ca="1">IF(Altitude_culmi&gt;350, 200, NA())</f>
        <v>200</v>
      </c>
      <c r="C185" s="5">
        <v>13</v>
      </c>
      <c r="D185" s="82">
        <f t="shared" ca="1" si="2"/>
        <v>433.1339788956879</v>
      </c>
      <c r="E185" s="82"/>
      <c r="F185" s="214">
        <f t="shared" ca="1" si="3"/>
        <v>410.1339788956879</v>
      </c>
    </row>
    <row r="186" spans="2:6" x14ac:dyDescent="0.3">
      <c r="B186" s="231">
        <f ca="1">IF(Altitude_culmi&gt;350, 160, NA())</f>
        <v>160</v>
      </c>
      <c r="C186" s="5">
        <v>17</v>
      </c>
      <c r="D186" s="82">
        <f t="shared" ca="1" si="2"/>
        <v>437.1339788956879</v>
      </c>
      <c r="E186" s="82"/>
      <c r="F186" s="214">
        <f t="shared" ca="1" si="3"/>
        <v>407.1339788956879</v>
      </c>
    </row>
    <row r="187" spans="2:6" x14ac:dyDescent="0.3">
      <c r="B187" s="231">
        <f ca="1">IF(Altitude_culmi&gt;350, 115, NA())</f>
        <v>115</v>
      </c>
      <c r="C187" s="5">
        <v>20</v>
      </c>
      <c r="D187" s="82">
        <f t="shared" ca="1" si="2"/>
        <v>440.1339788956879</v>
      </c>
      <c r="E187" s="82"/>
      <c r="F187" s="214">
        <f t="shared" ca="1" si="3"/>
        <v>403.1339788956879</v>
      </c>
    </row>
    <row r="188" spans="2:6" x14ac:dyDescent="0.3">
      <c r="B188" s="231">
        <f ca="1">IF(Altitude_culmi&gt;350, 90, NA())</f>
        <v>90</v>
      </c>
      <c r="C188" s="5">
        <v>25</v>
      </c>
      <c r="D188" s="82">
        <f t="shared" ca="1" si="2"/>
        <v>445.1339788956879</v>
      </c>
      <c r="E188" s="82"/>
      <c r="F188" s="214">
        <f t="shared" ca="1" si="3"/>
        <v>400.1339788956879</v>
      </c>
    </row>
    <row r="189" spans="2:6" x14ac:dyDescent="0.3">
      <c r="B189" s="231">
        <f ca="1">IF(Altitude_culmi&gt;350, 57, NA())</f>
        <v>57</v>
      </c>
      <c r="C189" s="5">
        <v>30</v>
      </c>
      <c r="D189" s="82">
        <f t="shared" ca="1" si="2"/>
        <v>450.1339788956879</v>
      </c>
      <c r="E189" s="82"/>
      <c r="F189" s="214">
        <f t="shared" ca="1" si="3"/>
        <v>395.1339788956879</v>
      </c>
    </row>
    <row r="190" spans="2:6" x14ac:dyDescent="0.3">
      <c r="B190" s="231">
        <f ca="1">IF(Altitude_culmi&gt;350, 40, NA())</f>
        <v>40</v>
      </c>
      <c r="C190" s="5">
        <v>36</v>
      </c>
      <c r="D190" s="82">
        <f t="shared" ca="1" si="2"/>
        <v>456.1339788956879</v>
      </c>
      <c r="E190" s="82"/>
      <c r="F190" s="214">
        <f t="shared" ca="1" si="3"/>
        <v>390.1339788956879</v>
      </c>
    </row>
    <row r="191" spans="2:6" x14ac:dyDescent="0.3">
      <c r="B191" s="231">
        <f ca="1">IF(Altitude_culmi&gt;350, 20, NA())</f>
        <v>20</v>
      </c>
      <c r="C191" s="5">
        <v>48</v>
      </c>
      <c r="D191" s="82">
        <f t="shared" ca="1" si="2"/>
        <v>468.1339788956879</v>
      </c>
      <c r="E191" s="82"/>
      <c r="F191" s="214">
        <f t="shared" ca="1" si="3"/>
        <v>384.1339788956879</v>
      </c>
    </row>
    <row r="192" spans="2:6" x14ac:dyDescent="0.3">
      <c r="B192" s="231">
        <f ca="1">IF(Altitude_culmi&gt;350, 0.5, NA())</f>
        <v>0.5</v>
      </c>
      <c r="C192" s="5">
        <v>62</v>
      </c>
      <c r="D192" s="82">
        <f t="shared" ca="1" si="2"/>
        <v>482.1339788956879</v>
      </c>
      <c r="E192" s="82"/>
      <c r="F192" s="214">
        <f t="shared" ca="1" si="3"/>
        <v>372.1339788956879</v>
      </c>
    </row>
    <row r="193" spans="2:6" x14ac:dyDescent="0.3">
      <c r="B193" s="231">
        <f ca="1">IF(Altitude_culmi&gt;350, 0.5, NA())</f>
        <v>0.5</v>
      </c>
      <c r="C193" s="5">
        <v>37</v>
      </c>
      <c r="D193" s="82">
        <f t="shared" ca="1" si="2"/>
        <v>457.1339788956879</v>
      </c>
      <c r="E193" s="82"/>
      <c r="F193" s="214">
        <f t="shared" ca="1" si="3"/>
        <v>358.1339788956879</v>
      </c>
    </row>
    <row r="194" spans="2:6" x14ac:dyDescent="0.3">
      <c r="B194" s="231">
        <f ca="1">IF(Altitude_culmi&gt;350, 15, NA())</f>
        <v>15</v>
      </c>
      <c r="C194" s="5">
        <v>30</v>
      </c>
      <c r="D194" s="82">
        <f t="shared" ca="1" si="2"/>
        <v>450.1339788956879</v>
      </c>
      <c r="E194" s="82"/>
      <c r="F194" s="214">
        <f t="shared" ca="1" si="3"/>
        <v>383.1339788956879</v>
      </c>
    </row>
    <row r="195" spans="2:6" x14ac:dyDescent="0.3">
      <c r="B195" s="231">
        <f ca="1">IF(Altitude_culmi&gt;350, 30, NA())</f>
        <v>30</v>
      </c>
      <c r="C195" s="5">
        <v>15</v>
      </c>
      <c r="D195" s="82">
        <f t="shared" ca="1" si="2"/>
        <v>435.1339788956879</v>
      </c>
      <c r="E195" s="82"/>
      <c r="F195" s="214">
        <f t="shared" ca="1" si="3"/>
        <v>390.1339788956879</v>
      </c>
    </row>
    <row r="196" spans="2:6" x14ac:dyDescent="0.3">
      <c r="B196" s="231">
        <f ca="1">IF(Altitude_culmi&gt;350, 37, NA())</f>
        <v>37</v>
      </c>
      <c r="C196" s="5">
        <v>0</v>
      </c>
      <c r="D196" s="82">
        <f t="shared" ca="1" si="2"/>
        <v>420.1339788956879</v>
      </c>
      <c r="E196" s="82"/>
      <c r="F196" s="214">
        <f t="shared" ca="1" si="3"/>
        <v>405.1339788956879</v>
      </c>
    </row>
    <row r="197" spans="2:6" x14ac:dyDescent="0.3">
      <c r="B197" s="231">
        <f ca="1">IF(Altitude_culmi&gt;350, 67, NA())</f>
        <v>67</v>
      </c>
      <c r="C197" s="5">
        <v>0</v>
      </c>
      <c r="D197" s="82">
        <f t="shared" ca="1" si="2"/>
        <v>420.1339788956879</v>
      </c>
      <c r="E197" s="82"/>
      <c r="F197" s="214">
        <f t="shared" ca="1" si="3"/>
        <v>420.1339788956879</v>
      </c>
    </row>
    <row r="198" spans="2:6" x14ac:dyDescent="0.3">
      <c r="B198" s="231">
        <f ca="1">IF(Altitude_culmi&gt;350, 67, NA())</f>
        <v>67</v>
      </c>
      <c r="C198" s="5">
        <v>17</v>
      </c>
      <c r="D198" s="82">
        <f t="shared" ca="1" si="2"/>
        <v>437.1339788956879</v>
      </c>
      <c r="E198" s="82"/>
      <c r="F198" s="214">
        <f t="shared" ca="1" si="3"/>
        <v>420.1339788956879</v>
      </c>
    </row>
    <row r="199" spans="2:6" x14ac:dyDescent="0.3">
      <c r="B199" s="231">
        <f ca="1">IF(Altitude_culmi&gt;350, 100, NA())</f>
        <v>100</v>
      </c>
      <c r="C199" s="5">
        <v>11</v>
      </c>
      <c r="D199" s="82">
        <f t="shared" ca="1" si="2"/>
        <v>431.1339788956879</v>
      </c>
      <c r="E199" s="82"/>
      <c r="F199" s="214">
        <f t="shared" ca="1" si="3"/>
        <v>403.1339788956879</v>
      </c>
    </row>
    <row r="200" spans="2:6" x14ac:dyDescent="0.3">
      <c r="B200" s="229">
        <f ca="1">IF(Altitude_culmi&gt;350, 100, NA())</f>
        <v>100</v>
      </c>
      <c r="C200" s="421">
        <v>0</v>
      </c>
      <c r="D200" s="230">
        <f t="shared" ca="1" si="2"/>
        <v>420.1339788956879</v>
      </c>
      <c r="E200" s="82"/>
      <c r="F200" s="214">
        <f t="shared" ca="1" si="3"/>
        <v>409.1339788956879</v>
      </c>
    </row>
    <row r="201" spans="2:6" x14ac:dyDescent="0.3">
      <c r="E201" s="230"/>
      <c r="F201" s="216">
        <f t="shared" ca="1" si="3"/>
        <v>420.1339788956879</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F51:G51"/>
    <mergeCell ref="F42:G42"/>
    <mergeCell ref="F43:G43"/>
    <mergeCell ref="F44:G44"/>
    <mergeCell ref="F45:G45"/>
    <mergeCell ref="F50:G50"/>
    <mergeCell ref="F46:G46"/>
    <mergeCell ref="F47:G47"/>
    <mergeCell ref="F49:G49"/>
    <mergeCell ref="F48:G48"/>
    <mergeCell ref="C16:D16"/>
    <mergeCell ref="C11:D11"/>
    <mergeCell ref="C20:D20"/>
    <mergeCell ref="C21:D21"/>
    <mergeCell ref="C12:D12"/>
    <mergeCell ref="C14:D14"/>
    <mergeCell ref="C15:D15"/>
    <mergeCell ref="C19:D19"/>
    <mergeCell ref="C23:D23"/>
    <mergeCell ref="C18:D18"/>
    <mergeCell ref="F24:G24"/>
    <mergeCell ref="F28:G28"/>
    <mergeCell ref="F27:G27"/>
    <mergeCell ref="F25:G25"/>
    <mergeCell ref="F26:G26"/>
    <mergeCell ref="H35:I35"/>
    <mergeCell ref="H34:I34"/>
    <mergeCell ref="F29:G29"/>
    <mergeCell ref="H33:I33"/>
    <mergeCell ref="A40:D40"/>
    <mergeCell ref="H36:I36"/>
    <mergeCell ref="F36:G36"/>
    <mergeCell ref="F35:G35"/>
    <mergeCell ref="F34:G34"/>
    <mergeCell ref="F40:G40"/>
    <mergeCell ref="C10:D10"/>
    <mergeCell ref="C5:D5"/>
    <mergeCell ref="C2:D3"/>
    <mergeCell ref="C7:D7"/>
    <mergeCell ref="C8:D8"/>
    <mergeCell ref="C9:D9"/>
    <mergeCell ref="C6:D6"/>
    <mergeCell ref="C4:D4"/>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27214</xdr:colOff>
                <xdr:row>94</xdr:row>
                <xdr:rowOff>76200</xdr:rowOff>
              </from>
              <to>
                <xdr:col>3</xdr:col>
                <xdr:colOff>762000</xdr:colOff>
                <xdr:row>100</xdr:row>
                <xdr:rowOff>97971</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157843</xdr:rowOff>
                  </from>
                  <to>
                    <xdr:col>4</xdr:col>
                    <xdr:colOff>0</xdr:colOff>
                    <xdr:row>11</xdr:row>
                    <xdr:rowOff>5443</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10886</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10886</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10886</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10886</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defaultColWidth="11.07421875" defaultRowHeight="12.45" x14ac:dyDescent="0.3"/>
  <sheetData>
    <row r="75" spans="2:2" x14ac:dyDescent="0.3">
      <c r="B75" t="s">
        <v>43</v>
      </c>
    </row>
    <row r="76" spans="2:2" x14ac:dyDescent="0.3">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3">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3">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3">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3">
      <c r="B131" s="24" t="str">
        <f>IF(Lang="Français","Textes pour les graphiques :","Texts for graphics :")</f>
        <v>Textes pour les graphiques :</v>
      </c>
    </row>
    <row r="133" spans="2:2" x14ac:dyDescent="0.3">
      <c r="B133" t="str">
        <f>IF(Lang="Français","Traînée",IF(Lang="English","Drag",""))</f>
        <v>Traînée</v>
      </c>
    </row>
    <row r="134" spans="2:2" x14ac:dyDescent="0.3">
      <c r="B134" t="str">
        <f>IF(Lang="Français","Poussée",IF(Lang="English","Thrust",""))</f>
        <v>Poussée</v>
      </c>
    </row>
    <row r="135" spans="2:2" x14ac:dyDescent="0.3">
      <c r="B135" t="str">
        <f>IF(Lang="Français","Poids",IF(Lang="English","Weight",""))</f>
        <v>Poids</v>
      </c>
    </row>
    <row r="137" spans="2:2" x14ac:dyDescent="0.3">
      <c r="B137" t="str">
        <f>IF(Lang="Français","Accélération longitudinale",IF(Lang="English","Longitudinal Acceleration",""))</f>
        <v>Accélération longitudinale</v>
      </c>
    </row>
    <row r="138" spans="2:2" x14ac:dyDescent="0.3">
      <c r="B138" t="str">
        <f>IF(Lang="Français","Charge vue par un capteur",IF(Lang="English","Load seen by a sensor",""))</f>
        <v>Charge vue par un capteur</v>
      </c>
    </row>
    <row r="140" spans="2:2" x14ac:dyDescent="0.3">
      <c r="B140" t="str">
        <f>IF(Lang="Français","Vitesse",IF(Lang="English","Velocity",""))</f>
        <v>Vitesse</v>
      </c>
    </row>
    <row r="141" spans="2:2" x14ac:dyDescent="0.3">
      <c r="B141" t="str">
        <f>IF(Lang="Français","Vitesse [m/s]",IF(Lang="English","Velocity [m/s]",""))</f>
        <v>Vitesse [m/s]</v>
      </c>
    </row>
    <row r="143" spans="2:2" x14ac:dyDescent="0.3">
      <c r="B143" t="s">
        <v>6</v>
      </c>
    </row>
    <row r="144" spans="2:2" x14ac:dyDescent="0.3">
      <c r="B144" t="str">
        <f>IF(Lang="Français","Portée",IF(Lang="English","Range",""))</f>
        <v>Portée</v>
      </c>
    </row>
    <row r="146" spans="2:2" x14ac:dyDescent="0.3">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P11" sqref="P11"/>
    </sheetView>
  </sheetViews>
  <sheetFormatPr defaultColWidth="11.07421875" defaultRowHeight="12.45" x14ac:dyDescent="0.3"/>
  <cols>
    <col min="1" max="1" width="22.61328125" bestFit="1" customWidth="1"/>
  </cols>
  <sheetData>
    <row r="1" spans="1:26" ht="12.9" thickBot="1" x14ac:dyDescent="0.35">
      <c r="A1" s="362" t="str">
        <f>IF(Lang="Français","Moteur sélectionné","Selected motor")</f>
        <v>Moteur sélectionné</v>
      </c>
      <c r="B1" s="362" t="s">
        <v>32</v>
      </c>
    </row>
    <row r="2" spans="1:26" ht="12.9" thickBot="1" x14ac:dyDescent="0.35">
      <c r="A2" s="352" t="str">
        <f>Propu</f>
        <v>Pro54-5G WT</v>
      </c>
      <c r="B2" s="352">
        <f>VLOOKUP(A2,A26:B314,2,FALSE)</f>
        <v>284</v>
      </c>
      <c r="C2" s="363" t="s">
        <v>115</v>
      </c>
      <c r="D2" s="353">
        <f ca="1">INDIRECT(ADDRESS(B2,4))</f>
        <v>1998.2428999999995</v>
      </c>
      <c r="E2" s="363" t="s">
        <v>114</v>
      </c>
      <c r="F2" s="354">
        <f ca="1">INDIRECT(ADDRESS(B2,6))</f>
        <v>207.42819268753979</v>
      </c>
      <c r="G2" s="363" t="s">
        <v>56</v>
      </c>
      <c r="H2" s="355">
        <f ca="1">INDIRECT(ADDRESS(B2,8))</f>
        <v>1.6319999999999999</v>
      </c>
      <c r="I2" s="363" t="s">
        <v>271</v>
      </c>
      <c r="J2" s="356">
        <f ca="1">INDIRECT(ADDRESS(B2,10))</f>
        <v>0.98199999999999987</v>
      </c>
      <c r="K2" s="363" t="s">
        <v>58</v>
      </c>
      <c r="L2" s="355">
        <f ca="1">INDIRECT(ADDRESS(B2,12))</f>
        <v>0.65</v>
      </c>
      <c r="M2" s="363" t="s">
        <v>57</v>
      </c>
      <c r="N2" s="357">
        <f ca="1">INDIRECT(ADDRESS(B2,14))</f>
        <v>250</v>
      </c>
      <c r="O2" s="363" t="s">
        <v>59</v>
      </c>
      <c r="P2" s="357">
        <f ca="1">INDIRECT(ADDRESS(B2,16))</f>
        <v>240</v>
      </c>
      <c r="Q2" s="363" t="s">
        <v>60</v>
      </c>
      <c r="R2" s="357">
        <f ca="1">INDIRECT(ADDRESS(B2,18))</f>
        <v>488</v>
      </c>
      <c r="S2" s="363" t="s">
        <v>61</v>
      </c>
      <c r="T2" s="357">
        <f ca="1">INDIRECT(ADDRESS(B2,20))</f>
        <v>54</v>
      </c>
      <c r="U2" s="363" t="s">
        <v>54</v>
      </c>
      <c r="V2" s="358" t="str">
        <f ca="1">INDIRECT(ADDRESS(B2,22))</f>
        <v>Fusex</v>
      </c>
      <c r="W2" s="463" t="s">
        <v>392</v>
      </c>
      <c r="X2" s="464">
        <f ca="1">INDIRECT(ADDRESS(B2,24))</f>
        <v>0</v>
      </c>
      <c r="Y2" s="463" t="s">
        <v>391</v>
      </c>
      <c r="Z2" s="358">
        <f ca="1">INDIRECT(ADDRESS(B2,26))</f>
        <v>0</v>
      </c>
    </row>
    <row r="3" spans="1:26" x14ac:dyDescent="0.3">
      <c r="A3" s="362" t="str">
        <f>IF(Lang="Français","Temps (en s)","Time (s)")</f>
        <v>Temps (en s)</v>
      </c>
      <c r="B3" s="364">
        <f t="shared" ref="B3:Y3" ca="1" si="0">INDIRECT(ADDRESS($B2+1,COLUMN(B3)))</f>
        <v>0</v>
      </c>
      <c r="C3" s="365">
        <f t="shared" ca="1" si="0"/>
        <v>0.01</v>
      </c>
      <c r="D3" s="365">
        <f t="shared" ca="1" si="0"/>
        <v>0.02</v>
      </c>
      <c r="E3" s="365">
        <f t="shared" ca="1" si="0"/>
        <v>0.05</v>
      </c>
      <c r="F3" s="365">
        <f t="shared" ca="1" si="0"/>
        <v>0.1</v>
      </c>
      <c r="G3" s="365">
        <f t="shared" ca="1" si="0"/>
        <v>0.2</v>
      </c>
      <c r="H3" s="365">
        <f t="shared" ca="1" si="0"/>
        <v>0.4</v>
      </c>
      <c r="I3" s="365">
        <f t="shared" ca="1" si="0"/>
        <v>0.8</v>
      </c>
      <c r="J3" s="365">
        <f t="shared" ca="1" si="0"/>
        <v>0.9</v>
      </c>
      <c r="K3" s="365">
        <f t="shared" ca="1" si="0"/>
        <v>1</v>
      </c>
      <c r="L3" s="365">
        <f t="shared" ca="1" si="0"/>
        <v>1.1000000000000001</v>
      </c>
      <c r="M3" s="365">
        <f t="shared" ca="1" si="0"/>
        <v>1.2</v>
      </c>
      <c r="N3" s="365">
        <f t="shared" ca="1" si="0"/>
        <v>1.3</v>
      </c>
      <c r="O3" s="365">
        <f t="shared" ca="1" si="0"/>
        <v>1.4</v>
      </c>
      <c r="P3" s="365">
        <f t="shared" ca="1" si="0"/>
        <v>1.55</v>
      </c>
      <c r="Q3" s="365">
        <f t="shared" ca="1" si="0"/>
        <v>1.6</v>
      </c>
      <c r="R3" s="365">
        <f t="shared" ca="1" si="0"/>
        <v>1.62</v>
      </c>
      <c r="S3" s="365">
        <f t="shared" ca="1" si="0"/>
        <v>1.64</v>
      </c>
      <c r="T3" s="365">
        <f t="shared" ca="1" si="0"/>
        <v>1.66</v>
      </c>
      <c r="U3" s="365">
        <f t="shared" ca="1" si="0"/>
        <v>1.67</v>
      </c>
      <c r="V3" s="365">
        <f t="shared" ca="1" si="0"/>
        <v>1.68</v>
      </c>
      <c r="W3" s="365">
        <f t="shared" ca="1" si="0"/>
        <v>1.69</v>
      </c>
      <c r="X3" s="365">
        <f ca="1">INDIRECT(ADDRESS($B2+1,COLUMN(X3)))</f>
        <v>1.7</v>
      </c>
      <c r="Y3" s="366">
        <f t="shared" ca="1" si="0"/>
        <v>1000</v>
      </c>
    </row>
    <row r="4" spans="1:26" ht="12.9" thickBot="1" x14ac:dyDescent="0.35">
      <c r="A4" s="379" t="str">
        <f>IF(Lang="Français","Poussée (en N)","Thrust (N)")</f>
        <v>Poussée (en N)</v>
      </c>
      <c r="B4" s="367">
        <f t="shared" ref="B4:Y4" ca="1" si="1">INDIRECT(ADDRESS($B2+2,COLUMN(B3)))</f>
        <v>0</v>
      </c>
      <c r="C4" s="368">
        <f t="shared" ca="1" si="1"/>
        <v>492.25</v>
      </c>
      <c r="D4" s="368">
        <f t="shared" ca="1" si="1"/>
        <v>1369.46</v>
      </c>
      <c r="E4" s="368">
        <f t="shared" ca="1" si="1"/>
        <v>1236.01</v>
      </c>
      <c r="F4" s="368">
        <f t="shared" ca="1" si="1"/>
        <v>1279.47</v>
      </c>
      <c r="G4" s="368">
        <f t="shared" ca="1" si="1"/>
        <v>1311.39</v>
      </c>
      <c r="H4" s="368">
        <f t="shared" ca="1" si="1"/>
        <v>1331.39</v>
      </c>
      <c r="I4" s="368">
        <f t="shared" ca="1" si="1"/>
        <v>1304.08</v>
      </c>
      <c r="J4" s="368">
        <f t="shared" ca="1" si="1"/>
        <v>1280.6199999999999</v>
      </c>
      <c r="K4" s="368">
        <f t="shared" ca="1" si="1"/>
        <v>1249.8599999999999</v>
      </c>
      <c r="L4" s="368">
        <f t="shared" ca="1" si="1"/>
        <v>1217.94</v>
      </c>
      <c r="M4" s="368">
        <f t="shared" ca="1" si="1"/>
        <v>1199.29</v>
      </c>
      <c r="N4" s="368">
        <f t="shared" ca="1" si="1"/>
        <v>1158.77</v>
      </c>
      <c r="O4" s="368">
        <f t="shared" ca="1" si="1"/>
        <v>1112.56</v>
      </c>
      <c r="P4" s="368">
        <f t="shared" ca="1" si="1"/>
        <v>941.81</v>
      </c>
      <c r="Q4" s="368">
        <f t="shared" ca="1" si="1"/>
        <v>726.07</v>
      </c>
      <c r="R4" s="368">
        <f t="shared" ca="1" si="1"/>
        <v>559.16999999999996</v>
      </c>
      <c r="S4" s="368">
        <f t="shared" ca="1" si="1"/>
        <v>399.95</v>
      </c>
      <c r="T4" s="368">
        <f t="shared" ca="1" si="1"/>
        <v>317.66000000000003</v>
      </c>
      <c r="U4" s="368">
        <f t="shared" ca="1" si="1"/>
        <v>247.28</v>
      </c>
      <c r="V4" s="368">
        <f t="shared" ca="1" si="1"/>
        <v>198.05</v>
      </c>
      <c r="W4" s="368">
        <f t="shared" ca="1" si="1"/>
        <v>67.3</v>
      </c>
      <c r="X4" s="368">
        <f ca="1">INDIRECT(ADDRESS($B2+2,COLUMN(X3)))</f>
        <v>0</v>
      </c>
      <c r="Y4" s="369">
        <f t="shared" ca="1" si="1"/>
        <v>0</v>
      </c>
    </row>
    <row r="5" spans="1:26" x14ac:dyDescent="0.3">
      <c r="B5" s="12"/>
      <c r="C5" s="12"/>
      <c r="D5" s="12"/>
      <c r="E5" s="12"/>
      <c r="F5" s="12"/>
      <c r="G5" s="12"/>
      <c r="H5" s="12"/>
      <c r="I5" s="12"/>
      <c r="J5" s="12"/>
      <c r="K5" s="12"/>
      <c r="L5" s="12"/>
      <c r="M5" s="12"/>
      <c r="N5" s="12"/>
      <c r="O5" s="12"/>
      <c r="P5" s="12"/>
      <c r="Q5" s="12"/>
      <c r="R5" s="12"/>
      <c r="S5" s="12"/>
      <c r="T5" s="12"/>
      <c r="U5" s="12"/>
      <c r="V5" s="12"/>
      <c r="W5" s="12"/>
      <c r="X5" s="12"/>
      <c r="Y5" s="12"/>
    </row>
    <row r="6" spans="1:26" x14ac:dyDescent="0.3">
      <c r="B6" s="12"/>
      <c r="C6" s="12"/>
      <c r="D6" s="12"/>
      <c r="E6" s="12"/>
      <c r="F6" s="12"/>
      <c r="G6" s="12"/>
      <c r="H6" s="12"/>
      <c r="I6" s="12"/>
      <c r="J6" s="12"/>
      <c r="K6" s="12"/>
      <c r="L6" s="12"/>
      <c r="M6" s="12"/>
      <c r="N6" s="12"/>
      <c r="O6" s="12"/>
      <c r="P6" s="12"/>
      <c r="Q6" s="12"/>
      <c r="R6" s="12"/>
      <c r="S6" s="12"/>
      <c r="T6" s="12"/>
      <c r="U6" s="12"/>
      <c r="V6" s="12"/>
      <c r="W6" s="12"/>
      <c r="X6" s="12"/>
      <c r="Y6" s="12"/>
    </row>
    <row r="7" spans="1:26" x14ac:dyDescent="0.3">
      <c r="B7" s="12"/>
      <c r="C7" s="12"/>
      <c r="D7" s="12"/>
      <c r="E7" s="12"/>
      <c r="F7" s="12"/>
      <c r="G7" s="12"/>
      <c r="H7" s="12"/>
      <c r="I7" s="12"/>
      <c r="J7" s="12"/>
      <c r="K7" s="12"/>
      <c r="L7" s="12"/>
      <c r="M7" s="12"/>
    </row>
    <row r="8" spans="1:26" x14ac:dyDescent="0.3">
      <c r="B8" s="12"/>
      <c r="C8" s="12"/>
      <c r="D8" s="12"/>
      <c r="E8" s="12"/>
      <c r="F8" s="12"/>
      <c r="G8" s="12"/>
      <c r="H8" s="12"/>
      <c r="I8" s="12"/>
      <c r="J8" s="12"/>
      <c r="K8" s="12"/>
      <c r="L8" s="12"/>
      <c r="M8" s="12"/>
    </row>
    <row r="9" spans="1:26" x14ac:dyDescent="0.3">
      <c r="B9" s="12"/>
      <c r="C9" s="12"/>
      <c r="D9" s="12"/>
      <c r="E9" s="12"/>
      <c r="F9" s="12"/>
      <c r="G9" s="12"/>
      <c r="H9" s="12"/>
      <c r="I9" s="12"/>
      <c r="J9" s="12"/>
      <c r="K9" s="12"/>
      <c r="L9" s="12"/>
      <c r="M9" s="12"/>
    </row>
    <row r="10" spans="1:26" x14ac:dyDescent="0.3">
      <c r="B10" s="12"/>
      <c r="C10" s="12"/>
      <c r="D10" s="12"/>
      <c r="E10" s="12"/>
      <c r="F10" s="12"/>
      <c r="G10" s="12"/>
      <c r="H10" s="12"/>
      <c r="I10" s="12"/>
      <c r="J10" s="12"/>
    </row>
    <row r="11" spans="1:26" x14ac:dyDescent="0.3">
      <c r="B11" s="12"/>
      <c r="C11" s="12"/>
      <c r="D11" s="12"/>
      <c r="E11" s="12"/>
      <c r="F11" s="12"/>
      <c r="G11" s="12"/>
      <c r="H11" s="12"/>
      <c r="I11" s="12"/>
      <c r="J11" s="12"/>
    </row>
    <row r="12" spans="1:26" x14ac:dyDescent="0.3">
      <c r="B12" s="12"/>
      <c r="C12" s="12"/>
      <c r="D12" s="12"/>
      <c r="E12" s="12"/>
      <c r="F12" s="12"/>
      <c r="G12" s="12"/>
      <c r="H12" s="12"/>
      <c r="I12" s="12"/>
      <c r="J12" s="12"/>
    </row>
    <row r="13" spans="1:26" x14ac:dyDescent="0.3">
      <c r="B13" s="12"/>
      <c r="C13" s="12"/>
      <c r="D13" s="12"/>
      <c r="E13" s="12"/>
      <c r="F13" s="12"/>
      <c r="G13" s="12"/>
      <c r="H13" s="12"/>
      <c r="I13" s="12"/>
      <c r="J13" s="12"/>
    </row>
    <row r="14" spans="1:26" x14ac:dyDescent="0.3">
      <c r="B14" s="12"/>
      <c r="C14" s="12"/>
      <c r="D14" s="12"/>
      <c r="E14" s="12"/>
      <c r="F14" s="12"/>
      <c r="G14" s="12"/>
      <c r="H14" s="12"/>
      <c r="I14" s="12"/>
      <c r="J14" s="12"/>
    </row>
    <row r="15" spans="1:26" x14ac:dyDescent="0.3">
      <c r="B15" s="12"/>
      <c r="C15" s="12"/>
      <c r="D15" s="12"/>
      <c r="E15" s="12"/>
      <c r="F15" s="12"/>
      <c r="G15" s="12"/>
      <c r="H15" s="12"/>
      <c r="I15" s="12"/>
      <c r="J15" s="12"/>
      <c r="K15" s="12"/>
      <c r="L15" s="12"/>
      <c r="M15" s="12"/>
    </row>
    <row r="16" spans="1:26" x14ac:dyDescent="0.3">
      <c r="B16" s="12"/>
      <c r="C16" s="12"/>
      <c r="D16" s="12"/>
      <c r="E16" s="12"/>
      <c r="F16" s="12"/>
      <c r="G16" s="12"/>
      <c r="H16" s="12"/>
      <c r="I16" s="12"/>
      <c r="J16" s="12"/>
      <c r="K16" s="12"/>
      <c r="L16" s="12"/>
      <c r="M16" s="12"/>
    </row>
    <row r="17" spans="1:25" x14ac:dyDescent="0.3">
      <c r="B17" s="12"/>
      <c r="C17" s="12"/>
      <c r="D17" s="12"/>
      <c r="E17" s="12"/>
      <c r="F17" s="12"/>
      <c r="G17" s="12"/>
      <c r="H17" s="12"/>
      <c r="I17" s="12"/>
      <c r="J17" s="12"/>
      <c r="K17" s="12"/>
      <c r="L17" s="12"/>
      <c r="M17" s="12"/>
    </row>
    <row r="18" spans="1:25" x14ac:dyDescent="0.3">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3">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3">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3">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3">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3">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2.9" thickBot="1" x14ac:dyDescent="0.35">
      <c r="A25" s="6" t="s">
        <v>274</v>
      </c>
    </row>
    <row r="26" spans="1:25" ht="12.9" thickBot="1" x14ac:dyDescent="0.35">
      <c r="A26" s="361" t="s">
        <v>307</v>
      </c>
      <c r="B26" s="359">
        <f>ROW(A26)</f>
        <v>26</v>
      </c>
      <c r="C26" s="363" t="s">
        <v>115</v>
      </c>
      <c r="D26" s="353">
        <f>SUM(B29:Y29)</f>
        <v>9.8449999999999989</v>
      </c>
      <c r="E26" s="363" t="s">
        <v>114</v>
      </c>
      <c r="F26" s="399">
        <f>D26/g/J26</f>
        <v>3.3452259599048584</v>
      </c>
      <c r="G26" s="363" t="s">
        <v>56</v>
      </c>
      <c r="H26" s="64">
        <v>0.3</v>
      </c>
      <c r="I26" s="363" t="s">
        <v>269</v>
      </c>
      <c r="J26" s="355">
        <f>H26-L26</f>
        <v>0.3</v>
      </c>
      <c r="K26" s="363" t="s">
        <v>270</v>
      </c>
      <c r="L26" s="64">
        <v>0</v>
      </c>
      <c r="M26" s="363" t="s">
        <v>57</v>
      </c>
      <c r="N26" s="65">
        <f>0.2*R26</f>
        <v>60</v>
      </c>
      <c r="O26" s="363" t="s">
        <v>59</v>
      </c>
      <c r="P26" s="65">
        <v>150</v>
      </c>
      <c r="Q26" s="363" t="s">
        <v>60</v>
      </c>
      <c r="R26" s="65">
        <v>300</v>
      </c>
      <c r="S26" s="363" t="s">
        <v>61</v>
      </c>
      <c r="T26" s="65">
        <v>90</v>
      </c>
      <c r="U26" s="363" t="s">
        <v>54</v>
      </c>
      <c r="V26" s="66" t="s">
        <v>274</v>
      </c>
      <c r="W26" s="12"/>
      <c r="X26" s="12"/>
      <c r="Y26" s="12"/>
    </row>
    <row r="27" spans="1:25" x14ac:dyDescent="0.3">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3">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2.9" thickBot="1" x14ac:dyDescent="0.3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2.9" thickBot="1" x14ac:dyDescent="0.35">
      <c r="A30" s="12"/>
      <c r="L30" s="12"/>
      <c r="M30" s="12"/>
      <c r="N30" s="12"/>
      <c r="O30" s="12"/>
      <c r="P30" s="12"/>
      <c r="Q30" s="12"/>
      <c r="R30" s="12"/>
      <c r="S30" s="12"/>
      <c r="T30" s="12"/>
      <c r="U30" s="12"/>
      <c r="V30" s="12"/>
      <c r="W30" s="12"/>
      <c r="X30" s="12"/>
      <c r="Y30" s="12"/>
    </row>
    <row r="31" spans="1:25" ht="12.9" thickBot="1" x14ac:dyDescent="0.35">
      <c r="A31" s="361" t="s">
        <v>308</v>
      </c>
      <c r="B31" s="359">
        <f>ROW(A31)</f>
        <v>31</v>
      </c>
      <c r="C31" s="363" t="s">
        <v>115</v>
      </c>
      <c r="D31" s="353">
        <f>SUM(B34:Y34)</f>
        <v>13.814500000000002</v>
      </c>
      <c r="E31" s="363" t="s">
        <v>114</v>
      </c>
      <c r="F31" s="399">
        <f>D31/g/J31</f>
        <v>3.1293464718541175</v>
      </c>
      <c r="G31" s="363" t="s">
        <v>56</v>
      </c>
      <c r="H31" s="64">
        <v>0.45</v>
      </c>
      <c r="I31" s="363" t="s">
        <v>269</v>
      </c>
      <c r="J31" s="355">
        <f>H31-L31</f>
        <v>0.45</v>
      </c>
      <c r="K31" s="363" t="s">
        <v>270</v>
      </c>
      <c r="L31" s="64">
        <v>0</v>
      </c>
      <c r="M31" s="363" t="s">
        <v>57</v>
      </c>
      <c r="N31" s="65">
        <f>0.3*R31</f>
        <v>90</v>
      </c>
      <c r="O31" s="363" t="s">
        <v>59</v>
      </c>
      <c r="P31" s="65">
        <v>150</v>
      </c>
      <c r="Q31" s="363" t="s">
        <v>60</v>
      </c>
      <c r="R31" s="65">
        <v>300</v>
      </c>
      <c r="S31" s="363" t="s">
        <v>61</v>
      </c>
      <c r="T31" s="65">
        <v>90</v>
      </c>
      <c r="U31" s="363" t="s">
        <v>54</v>
      </c>
      <c r="V31" s="66" t="s">
        <v>274</v>
      </c>
      <c r="W31" s="12"/>
      <c r="X31" s="12"/>
      <c r="Y31" s="12"/>
    </row>
    <row r="32" spans="1:25" x14ac:dyDescent="0.3">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3">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2.9" thickBot="1" x14ac:dyDescent="0.3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2.9" thickBot="1" x14ac:dyDescent="0.3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2.9" thickBot="1" x14ac:dyDescent="0.35">
      <c r="A36" s="361" t="s">
        <v>309</v>
      </c>
      <c r="B36" s="359">
        <f>ROW(A36)</f>
        <v>36</v>
      </c>
      <c r="C36" s="363" t="s">
        <v>115</v>
      </c>
      <c r="D36" s="353">
        <f>SUM(B39:Y39)</f>
        <v>17.144499999999997</v>
      </c>
      <c r="E36" s="363" t="s">
        <v>114</v>
      </c>
      <c r="F36" s="399">
        <f>D36/g/J36</f>
        <v>2.9127590893645934</v>
      </c>
      <c r="G36" s="363" t="s">
        <v>56</v>
      </c>
      <c r="H36" s="64">
        <v>0.6</v>
      </c>
      <c r="I36" s="363" t="s">
        <v>269</v>
      </c>
      <c r="J36" s="355">
        <f>H36-L36</f>
        <v>0.6</v>
      </c>
      <c r="K36" s="363" t="s">
        <v>270</v>
      </c>
      <c r="L36" s="64">
        <v>0</v>
      </c>
      <c r="M36" s="363" t="s">
        <v>57</v>
      </c>
      <c r="N36" s="65">
        <f>0.4*R36</f>
        <v>120</v>
      </c>
      <c r="O36" s="363" t="s">
        <v>59</v>
      </c>
      <c r="P36" s="65">
        <v>150</v>
      </c>
      <c r="Q36" s="363" t="s">
        <v>60</v>
      </c>
      <c r="R36" s="65">
        <v>300</v>
      </c>
      <c r="S36" s="363" t="s">
        <v>61</v>
      </c>
      <c r="T36" s="65">
        <v>90</v>
      </c>
      <c r="U36" s="363" t="s">
        <v>54</v>
      </c>
      <c r="V36" s="66" t="s">
        <v>274</v>
      </c>
      <c r="W36" s="12"/>
      <c r="X36" s="12"/>
      <c r="Y36" s="12"/>
    </row>
    <row r="37" spans="1:25" x14ac:dyDescent="0.3">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3">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2.9" thickBot="1" x14ac:dyDescent="0.3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2.9" thickBot="1" x14ac:dyDescent="0.35">
      <c r="A40" s="12"/>
      <c r="L40" s="12"/>
      <c r="M40" s="12"/>
      <c r="N40" s="12"/>
      <c r="O40" s="12"/>
      <c r="P40" s="12"/>
      <c r="Q40" s="12"/>
      <c r="R40" s="12"/>
      <c r="S40" s="12"/>
      <c r="T40" s="12"/>
      <c r="U40" s="12"/>
      <c r="V40" s="12"/>
      <c r="W40" s="12"/>
      <c r="X40" s="12"/>
      <c r="Y40" s="12"/>
    </row>
    <row r="41" spans="1:25" ht="12.9" thickBot="1" x14ac:dyDescent="0.35">
      <c r="A41" s="361" t="s">
        <v>310</v>
      </c>
      <c r="B41" s="359">
        <f>ROW(A41)</f>
        <v>41</v>
      </c>
      <c r="C41" s="363" t="s">
        <v>115</v>
      </c>
      <c r="D41" s="353">
        <f>SUM(B44:Y44)</f>
        <v>19.415000000000003</v>
      </c>
      <c r="E41" s="363" t="s">
        <v>114</v>
      </c>
      <c r="F41" s="399">
        <f>D41/g/J41</f>
        <v>2.6388039415562354</v>
      </c>
      <c r="G41" s="363" t="s">
        <v>56</v>
      </c>
      <c r="H41" s="64">
        <v>0.75</v>
      </c>
      <c r="I41" s="363" t="s">
        <v>269</v>
      </c>
      <c r="J41" s="355">
        <f>H41-L41</f>
        <v>0.75</v>
      </c>
      <c r="K41" s="363" t="s">
        <v>270</v>
      </c>
      <c r="L41" s="64">
        <v>0</v>
      </c>
      <c r="M41" s="363" t="s">
        <v>57</v>
      </c>
      <c r="N41" s="65">
        <f>0.5*R41</f>
        <v>150</v>
      </c>
      <c r="O41" s="363" t="s">
        <v>59</v>
      </c>
      <c r="P41" s="65">
        <v>150</v>
      </c>
      <c r="Q41" s="363" t="s">
        <v>60</v>
      </c>
      <c r="R41" s="65">
        <v>300</v>
      </c>
      <c r="S41" s="363" t="s">
        <v>61</v>
      </c>
      <c r="T41" s="65">
        <v>90</v>
      </c>
      <c r="U41" s="363" t="s">
        <v>54</v>
      </c>
      <c r="V41" s="66" t="s">
        <v>274</v>
      </c>
      <c r="W41" s="12"/>
      <c r="X41" s="12"/>
      <c r="Y41" s="12"/>
    </row>
    <row r="42" spans="1:25" x14ac:dyDescent="0.3">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3">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2.9" thickBot="1" x14ac:dyDescent="0.3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2.9" thickBot="1" x14ac:dyDescent="0.35"/>
    <row r="46" spans="1:25" ht="12.9" thickBot="1" x14ac:dyDescent="0.35">
      <c r="A46" s="361" t="s">
        <v>275</v>
      </c>
      <c r="B46" s="359">
        <f>ROW(A46)</f>
        <v>46</v>
      </c>
      <c r="C46" s="363" t="s">
        <v>115</v>
      </c>
      <c r="D46" s="353">
        <f>SUM(B49:Y49)</f>
        <v>12.8695</v>
      </c>
      <c r="E46" s="363" t="s">
        <v>114</v>
      </c>
      <c r="F46" s="399">
        <f>D46/g/J46</f>
        <v>3.2796890927624869</v>
      </c>
      <c r="G46" s="363" t="s">
        <v>56</v>
      </c>
      <c r="H46" s="64">
        <v>0.5</v>
      </c>
      <c r="I46" s="363" t="s">
        <v>269</v>
      </c>
      <c r="J46" s="355">
        <f>H46-L46</f>
        <v>0.4</v>
      </c>
      <c r="K46" s="363" t="s">
        <v>270</v>
      </c>
      <c r="L46" s="64">
        <v>0.1</v>
      </c>
      <c r="M46" s="363" t="s">
        <v>57</v>
      </c>
      <c r="N46" s="65">
        <f>0.2*R46</f>
        <v>60</v>
      </c>
      <c r="O46" s="363" t="s">
        <v>59</v>
      </c>
      <c r="P46" s="65">
        <v>150</v>
      </c>
      <c r="Q46" s="363" t="s">
        <v>60</v>
      </c>
      <c r="R46" s="65">
        <v>300</v>
      </c>
      <c r="S46" s="363" t="s">
        <v>61</v>
      </c>
      <c r="T46" s="65">
        <v>98</v>
      </c>
      <c r="U46" s="363" t="s">
        <v>54</v>
      </c>
      <c r="V46" s="66" t="s">
        <v>274</v>
      </c>
      <c r="W46" s="12"/>
      <c r="X46" s="12"/>
      <c r="Y46" s="12"/>
    </row>
    <row r="47" spans="1:25" x14ac:dyDescent="0.3">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3">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2.9" thickBot="1" x14ac:dyDescent="0.3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2.9" thickBot="1" x14ac:dyDescent="0.35">
      <c r="A50" s="12"/>
      <c r="L50" s="12"/>
      <c r="M50" s="12"/>
      <c r="N50" s="12"/>
      <c r="O50" s="12"/>
      <c r="P50" s="12"/>
      <c r="Q50" s="12"/>
      <c r="R50" s="12"/>
      <c r="S50" s="12"/>
      <c r="T50" s="12"/>
      <c r="U50" s="12"/>
      <c r="V50" s="12"/>
      <c r="W50" s="12"/>
      <c r="X50" s="12"/>
      <c r="Y50" s="12"/>
    </row>
    <row r="51" spans="1:25" ht="12.9" thickBot="1" x14ac:dyDescent="0.35">
      <c r="A51" s="361" t="s">
        <v>276</v>
      </c>
      <c r="B51" s="359">
        <f>ROW(A51)</f>
        <v>51</v>
      </c>
      <c r="C51" s="363" t="s">
        <v>115</v>
      </c>
      <c r="D51" s="353">
        <f>SUM(B54:Y54)</f>
        <v>18.123500000000003</v>
      </c>
      <c r="E51" s="363" t="s">
        <v>114</v>
      </c>
      <c r="F51" s="399">
        <f>D51/g/J51</f>
        <v>3.0790859667006463</v>
      </c>
      <c r="G51" s="363" t="s">
        <v>56</v>
      </c>
      <c r="H51" s="64">
        <v>0.7</v>
      </c>
      <c r="I51" s="363" t="s">
        <v>269</v>
      </c>
      <c r="J51" s="355">
        <f>H51-L51</f>
        <v>0.6</v>
      </c>
      <c r="K51" s="363" t="s">
        <v>270</v>
      </c>
      <c r="L51" s="64">
        <v>0.1</v>
      </c>
      <c r="M51" s="363" t="s">
        <v>57</v>
      </c>
      <c r="N51" s="65">
        <f>0.3*R51</f>
        <v>90</v>
      </c>
      <c r="O51" s="363" t="s">
        <v>59</v>
      </c>
      <c r="P51" s="65">
        <v>150</v>
      </c>
      <c r="Q51" s="363" t="s">
        <v>60</v>
      </c>
      <c r="R51" s="65">
        <v>300</v>
      </c>
      <c r="S51" s="363" t="s">
        <v>61</v>
      </c>
      <c r="T51" s="65">
        <v>98</v>
      </c>
      <c r="U51" s="363" t="s">
        <v>54</v>
      </c>
      <c r="V51" s="66" t="s">
        <v>274</v>
      </c>
      <c r="W51" s="12"/>
      <c r="X51" s="12"/>
      <c r="Y51" s="12"/>
    </row>
    <row r="52" spans="1:25" x14ac:dyDescent="0.3">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3">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2.9" thickBot="1" x14ac:dyDescent="0.3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2.9" thickBot="1" x14ac:dyDescent="0.3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2.9" thickBot="1" x14ac:dyDescent="0.35">
      <c r="A56" s="361" t="s">
        <v>277</v>
      </c>
      <c r="B56" s="359">
        <f>ROW(A56)</f>
        <v>56</v>
      </c>
      <c r="C56" s="363" t="s">
        <v>115</v>
      </c>
      <c r="D56" s="353">
        <f>SUM(B59:Y59)</f>
        <v>22.610000000000003</v>
      </c>
      <c r="E56" s="363" t="s">
        <v>114</v>
      </c>
      <c r="F56" s="399">
        <f>D56/g/J56</f>
        <v>2.88098878695209</v>
      </c>
      <c r="G56" s="363" t="s">
        <v>56</v>
      </c>
      <c r="H56" s="64">
        <v>0.9</v>
      </c>
      <c r="I56" s="363" t="s">
        <v>269</v>
      </c>
      <c r="J56" s="355">
        <f>H56-L56</f>
        <v>0.8</v>
      </c>
      <c r="K56" s="363" t="s">
        <v>270</v>
      </c>
      <c r="L56" s="64">
        <v>0.1</v>
      </c>
      <c r="M56" s="363" t="s">
        <v>57</v>
      </c>
      <c r="N56" s="65">
        <f>0.4*R56</f>
        <v>120</v>
      </c>
      <c r="O56" s="363" t="s">
        <v>59</v>
      </c>
      <c r="P56" s="65">
        <v>150</v>
      </c>
      <c r="Q56" s="363" t="s">
        <v>60</v>
      </c>
      <c r="R56" s="65">
        <v>300</v>
      </c>
      <c r="S56" s="363" t="s">
        <v>61</v>
      </c>
      <c r="T56" s="65">
        <v>98</v>
      </c>
      <c r="U56" s="363" t="s">
        <v>54</v>
      </c>
      <c r="V56" s="66" t="s">
        <v>274</v>
      </c>
      <c r="W56" s="12"/>
      <c r="X56" s="12"/>
      <c r="Y56" s="12"/>
    </row>
    <row r="57" spans="1:25" x14ac:dyDescent="0.3">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3">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2.9" thickBot="1" x14ac:dyDescent="0.3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2.9" thickBot="1" x14ac:dyDescent="0.35">
      <c r="A60" s="12"/>
      <c r="L60" s="12"/>
      <c r="M60" s="12"/>
      <c r="N60" s="12"/>
      <c r="O60" s="12"/>
      <c r="P60" s="12"/>
      <c r="Q60" s="12"/>
      <c r="R60" s="12"/>
      <c r="S60" s="12"/>
      <c r="T60" s="12"/>
      <c r="U60" s="12"/>
      <c r="V60" s="12"/>
      <c r="W60" s="12"/>
      <c r="X60" s="12"/>
      <c r="Y60" s="12"/>
    </row>
    <row r="61" spans="1:25" ht="12.9" thickBot="1" x14ac:dyDescent="0.35">
      <c r="A61" s="361" t="s">
        <v>278</v>
      </c>
      <c r="B61" s="359">
        <f>ROW(A61)</f>
        <v>61</v>
      </c>
      <c r="C61" s="363" t="s">
        <v>115</v>
      </c>
      <c r="D61" s="353">
        <f>SUM(B64:Y64)</f>
        <v>25.874000000000006</v>
      </c>
      <c r="E61" s="363" t="s">
        <v>114</v>
      </c>
      <c r="F61" s="399">
        <f>D61/g/J61</f>
        <v>2.6375127420998985</v>
      </c>
      <c r="G61" s="363" t="s">
        <v>56</v>
      </c>
      <c r="H61" s="64">
        <v>1.1000000000000001</v>
      </c>
      <c r="I61" s="363" t="s">
        <v>269</v>
      </c>
      <c r="J61" s="355">
        <f>H61-L61</f>
        <v>1</v>
      </c>
      <c r="K61" s="363" t="s">
        <v>270</v>
      </c>
      <c r="L61" s="64">
        <v>0.1</v>
      </c>
      <c r="M61" s="363" t="s">
        <v>57</v>
      </c>
      <c r="N61" s="65">
        <f>0.5*R61</f>
        <v>150</v>
      </c>
      <c r="O61" s="363" t="s">
        <v>59</v>
      </c>
      <c r="P61" s="65">
        <v>150</v>
      </c>
      <c r="Q61" s="363" t="s">
        <v>60</v>
      </c>
      <c r="R61" s="65">
        <v>300</v>
      </c>
      <c r="S61" s="363" t="s">
        <v>61</v>
      </c>
      <c r="T61" s="65">
        <v>98</v>
      </c>
      <c r="U61" s="363" t="s">
        <v>54</v>
      </c>
      <c r="V61" s="66" t="s">
        <v>274</v>
      </c>
      <c r="W61" s="12"/>
      <c r="X61" s="12"/>
      <c r="Y61" s="12"/>
    </row>
    <row r="62" spans="1:25" x14ac:dyDescent="0.3">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3">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2.9" thickBot="1" x14ac:dyDescent="0.3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2.9" thickBot="1" x14ac:dyDescent="0.35">
      <c r="A66" s="6" t="s">
        <v>181</v>
      </c>
    </row>
    <row r="67" spans="1:26" ht="12.9" thickBot="1" x14ac:dyDescent="0.35">
      <c r="A67" s="361" t="s">
        <v>111</v>
      </c>
      <c r="B67" s="359">
        <f>ROW(A67)</f>
        <v>67</v>
      </c>
      <c r="C67" s="363" t="s">
        <v>115</v>
      </c>
      <c r="D67" s="353">
        <f>SUM(B70:Y70)</f>
        <v>2.65</v>
      </c>
      <c r="E67" s="363" t="s">
        <v>114</v>
      </c>
      <c r="F67" s="354">
        <f>D67/g/J67</f>
        <v>54.026503567787969</v>
      </c>
      <c r="G67" s="363" t="s">
        <v>56</v>
      </c>
      <c r="H67" s="64">
        <v>1.4999999999999999E-2</v>
      </c>
      <c r="I67" s="363" t="s">
        <v>269</v>
      </c>
      <c r="J67" s="355">
        <f>H67-L67</f>
        <v>4.9999999999999992E-3</v>
      </c>
      <c r="K67" s="363" t="s">
        <v>270</v>
      </c>
      <c r="L67" s="64">
        <v>0.01</v>
      </c>
      <c r="M67" s="363" t="s">
        <v>57</v>
      </c>
      <c r="N67" s="65">
        <v>30</v>
      </c>
      <c r="O67" s="363" t="s">
        <v>59</v>
      </c>
      <c r="P67" s="65">
        <v>30</v>
      </c>
      <c r="Q67" s="363" t="s">
        <v>60</v>
      </c>
      <c r="R67" s="65">
        <v>70</v>
      </c>
      <c r="S67" s="363" t="s">
        <v>61</v>
      </c>
      <c r="T67" s="65">
        <v>15</v>
      </c>
      <c r="U67" s="363" t="s">
        <v>54</v>
      </c>
      <c r="V67" s="66" t="s">
        <v>117</v>
      </c>
      <c r="W67" s="463" t="s">
        <v>392</v>
      </c>
      <c r="X67" s="465">
        <v>0.32</v>
      </c>
      <c r="Y67" s="463" t="s">
        <v>391</v>
      </c>
      <c r="Z67" s="358">
        <v>3</v>
      </c>
    </row>
    <row r="68" spans="1:26" x14ac:dyDescent="0.3">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3">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2.9" thickBot="1" x14ac:dyDescent="0.3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2.9" thickBot="1" x14ac:dyDescent="0.35">
      <c r="A71" s="12"/>
      <c r="L71" s="12"/>
      <c r="M71" s="12"/>
      <c r="N71" s="12"/>
      <c r="O71" s="12"/>
      <c r="P71" s="12"/>
      <c r="Q71" s="12"/>
      <c r="R71" s="12"/>
      <c r="S71" s="12"/>
      <c r="T71" s="12"/>
      <c r="U71" s="12"/>
      <c r="V71" s="12"/>
      <c r="W71" s="12"/>
      <c r="X71" s="12"/>
      <c r="Y71" s="12"/>
    </row>
    <row r="72" spans="1:26" ht="12.9" thickBot="1" x14ac:dyDescent="0.35">
      <c r="A72" s="361" t="s">
        <v>112</v>
      </c>
      <c r="B72" s="359">
        <f>ROW(A72)</f>
        <v>72</v>
      </c>
      <c r="C72" s="363" t="s">
        <v>115</v>
      </c>
      <c r="D72" s="353">
        <f>SUM(B75:Y75)</f>
        <v>5.25</v>
      </c>
      <c r="E72" s="363" t="s">
        <v>114</v>
      </c>
      <c r="F72" s="354">
        <f>D72/g/J72</f>
        <v>89.1946992864424</v>
      </c>
      <c r="G72" s="363" t="s">
        <v>56</v>
      </c>
      <c r="H72" s="64">
        <v>0.02</v>
      </c>
      <c r="I72" s="363" t="s">
        <v>269</v>
      </c>
      <c r="J72" s="355">
        <f>H72-L72</f>
        <v>6.0000000000000001E-3</v>
      </c>
      <c r="K72" s="363" t="s">
        <v>270</v>
      </c>
      <c r="L72" s="64">
        <v>1.4E-2</v>
      </c>
      <c r="M72" s="363" t="s">
        <v>57</v>
      </c>
      <c r="N72" s="65">
        <v>30</v>
      </c>
      <c r="O72" s="363" t="s">
        <v>59</v>
      </c>
      <c r="P72" s="65">
        <v>30</v>
      </c>
      <c r="Q72" s="363" t="s">
        <v>60</v>
      </c>
      <c r="R72" s="65">
        <v>70</v>
      </c>
      <c r="S72" s="363" t="s">
        <v>61</v>
      </c>
      <c r="T72" s="65">
        <v>15</v>
      </c>
      <c r="U72" s="363" t="s">
        <v>54</v>
      </c>
      <c r="V72" s="66" t="s">
        <v>117</v>
      </c>
      <c r="W72" s="463" t="s">
        <v>392</v>
      </c>
      <c r="X72" s="465">
        <v>1.2</v>
      </c>
      <c r="Y72" s="463" t="s">
        <v>391</v>
      </c>
      <c r="Z72" s="358">
        <v>4</v>
      </c>
    </row>
    <row r="73" spans="1:26" x14ac:dyDescent="0.3">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3">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2.9" thickBot="1" x14ac:dyDescent="0.3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2.9" thickBot="1" x14ac:dyDescent="0.3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2.9" thickBot="1" x14ac:dyDescent="0.35">
      <c r="A77" s="361" t="s">
        <v>113</v>
      </c>
      <c r="B77" s="359">
        <f>ROW(A77)</f>
        <v>77</v>
      </c>
      <c r="C77" s="363" t="s">
        <v>115</v>
      </c>
      <c r="D77" s="353">
        <f>SUM(B80:Y80)</f>
        <v>10.26</v>
      </c>
      <c r="E77" s="363" t="s">
        <v>114</v>
      </c>
      <c r="F77" s="354">
        <f>D77/g/J77</f>
        <v>80.451658433309802</v>
      </c>
      <c r="G77" s="363" t="s">
        <v>56</v>
      </c>
      <c r="H77" s="64">
        <v>2.4E-2</v>
      </c>
      <c r="I77" s="363" t="s">
        <v>269</v>
      </c>
      <c r="J77" s="355">
        <f>H77-L77</f>
        <v>1.3000000000000001E-2</v>
      </c>
      <c r="K77" s="363" t="s">
        <v>270</v>
      </c>
      <c r="L77" s="64">
        <v>1.0999999999999999E-2</v>
      </c>
      <c r="M77" s="363" t="s">
        <v>57</v>
      </c>
      <c r="N77" s="65">
        <v>30</v>
      </c>
      <c r="O77" s="363" t="s">
        <v>59</v>
      </c>
      <c r="P77" s="65">
        <v>30</v>
      </c>
      <c r="Q77" s="363" t="s">
        <v>60</v>
      </c>
      <c r="R77" s="65">
        <v>70</v>
      </c>
      <c r="S77" s="363" t="s">
        <v>61</v>
      </c>
      <c r="T77" s="65">
        <v>15</v>
      </c>
      <c r="U77" s="363" t="s">
        <v>54</v>
      </c>
      <c r="V77" s="66" t="s">
        <v>117</v>
      </c>
      <c r="W77" s="463" t="s">
        <v>392</v>
      </c>
      <c r="X77" s="465">
        <v>1.7</v>
      </c>
      <c r="Y77" s="463" t="s">
        <v>391</v>
      </c>
      <c r="Z77" s="358">
        <v>3</v>
      </c>
    </row>
    <row r="78" spans="1:26" x14ac:dyDescent="0.3">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3">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2.9" thickBot="1" x14ac:dyDescent="0.3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2.9" thickBot="1" x14ac:dyDescent="0.35">
      <c r="A81" s="12"/>
      <c r="L81" s="12"/>
      <c r="M81" s="12"/>
      <c r="N81" s="12"/>
      <c r="O81" s="12"/>
      <c r="P81" s="12"/>
      <c r="Q81" s="12"/>
      <c r="R81" s="12"/>
      <c r="S81" s="12"/>
      <c r="T81" s="12"/>
      <c r="U81" s="12"/>
      <c r="V81" s="12"/>
      <c r="W81" s="12"/>
      <c r="X81" s="12"/>
      <c r="Y81" s="12"/>
    </row>
    <row r="82" spans="1:26" ht="12.9" thickBot="1" x14ac:dyDescent="0.35">
      <c r="A82" s="361" t="s">
        <v>327</v>
      </c>
      <c r="B82" s="359">
        <f>ROW(A82)</f>
        <v>82</v>
      </c>
      <c r="C82" s="363" t="s">
        <v>115</v>
      </c>
      <c r="D82" s="353">
        <f>SUM(B85:Y85)</f>
        <v>20.52</v>
      </c>
      <c r="E82" s="363" t="s">
        <v>114</v>
      </c>
      <c r="F82" s="354">
        <f>D82/g/J82</f>
        <v>80.451658433309802</v>
      </c>
      <c r="G82" s="363" t="s">
        <v>56</v>
      </c>
      <c r="H82" s="64">
        <f>H77*2</f>
        <v>4.8000000000000001E-2</v>
      </c>
      <c r="I82" s="363" t="s">
        <v>269</v>
      </c>
      <c r="J82" s="355">
        <f>H82-L82</f>
        <v>2.6000000000000002E-2</v>
      </c>
      <c r="K82" s="363" t="s">
        <v>270</v>
      </c>
      <c r="L82" s="64">
        <f>L77*2</f>
        <v>2.1999999999999999E-2</v>
      </c>
      <c r="M82" s="363" t="s">
        <v>57</v>
      </c>
      <c r="N82" s="65">
        <v>30</v>
      </c>
      <c r="O82" s="363" t="s">
        <v>59</v>
      </c>
      <c r="P82" s="65">
        <v>30</v>
      </c>
      <c r="Q82" s="363" t="s">
        <v>60</v>
      </c>
      <c r="R82" s="65">
        <v>70</v>
      </c>
      <c r="S82" s="363" t="s">
        <v>61</v>
      </c>
      <c r="T82" s="65">
        <v>30</v>
      </c>
      <c r="U82" s="363" t="s">
        <v>54</v>
      </c>
      <c r="V82" s="66" t="s">
        <v>117</v>
      </c>
      <c r="W82" s="463" t="s">
        <v>392</v>
      </c>
      <c r="X82" s="465">
        <v>1.7</v>
      </c>
      <c r="Y82" s="463" t="s">
        <v>391</v>
      </c>
      <c r="Z82" s="358">
        <v>3</v>
      </c>
    </row>
    <row r="83" spans="1:26" x14ac:dyDescent="0.3">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3">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2.9" thickBot="1" x14ac:dyDescent="0.3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2.9" thickBot="1" x14ac:dyDescent="0.3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2.9" thickBot="1" x14ac:dyDescent="0.35">
      <c r="A87" s="361" t="s">
        <v>328</v>
      </c>
      <c r="B87" s="359">
        <f>ROW(A87)</f>
        <v>87</v>
      </c>
      <c r="C87" s="363" t="s">
        <v>115</v>
      </c>
      <c r="D87" s="353">
        <f>SUM(B90:Y90)</f>
        <v>30.779999999999998</v>
      </c>
      <c r="E87" s="363" t="s">
        <v>114</v>
      </c>
      <c r="F87" s="354">
        <f>D87/g/J87</f>
        <v>80.451658433309774</v>
      </c>
      <c r="G87" s="363" t="s">
        <v>56</v>
      </c>
      <c r="H87" s="64">
        <f>H77*3</f>
        <v>7.2000000000000008E-2</v>
      </c>
      <c r="I87" s="363" t="s">
        <v>269</v>
      </c>
      <c r="J87" s="355">
        <f>H87-L87</f>
        <v>3.9000000000000007E-2</v>
      </c>
      <c r="K87" s="363" t="s">
        <v>270</v>
      </c>
      <c r="L87" s="64">
        <f>L77*3</f>
        <v>3.3000000000000002E-2</v>
      </c>
      <c r="M87" s="363" t="s">
        <v>57</v>
      </c>
      <c r="N87" s="65">
        <v>30</v>
      </c>
      <c r="O87" s="363" t="s">
        <v>59</v>
      </c>
      <c r="P87" s="65">
        <v>30</v>
      </c>
      <c r="Q87" s="363" t="s">
        <v>60</v>
      </c>
      <c r="R87" s="65">
        <v>70</v>
      </c>
      <c r="S87" s="363" t="s">
        <v>61</v>
      </c>
      <c r="T87" s="65">
        <v>40</v>
      </c>
      <c r="U87" s="363" t="s">
        <v>54</v>
      </c>
      <c r="V87" s="66" t="s">
        <v>117</v>
      </c>
      <c r="W87" s="463" t="s">
        <v>392</v>
      </c>
      <c r="X87" s="465">
        <v>1.7</v>
      </c>
      <c r="Y87" s="463" t="s">
        <v>391</v>
      </c>
      <c r="Z87" s="358">
        <v>3</v>
      </c>
    </row>
    <row r="88" spans="1:26" x14ac:dyDescent="0.3">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3">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2.9" thickBot="1" x14ac:dyDescent="0.3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2.9" thickBot="1" x14ac:dyDescent="0.3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2.9" thickBot="1" x14ac:dyDescent="0.35">
      <c r="A92" s="361" t="s">
        <v>539</v>
      </c>
      <c r="B92" s="359">
        <f>ROW(A92)</f>
        <v>92</v>
      </c>
      <c r="C92" s="363" t="s">
        <v>115</v>
      </c>
      <c r="D92" s="353">
        <f>SUM(B95:Y95)</f>
        <v>19.961989000000003</v>
      </c>
      <c r="E92" s="363" t="s">
        <v>114</v>
      </c>
      <c r="F92" s="354">
        <f>D92/g/J92</f>
        <v>118.30588744280873</v>
      </c>
      <c r="G92" s="363" t="s">
        <v>56</v>
      </c>
      <c r="H92" s="64">
        <v>2.8199999999999999E-2</v>
      </c>
      <c r="I92" s="363" t="s">
        <v>269</v>
      </c>
      <c r="J92" s="355">
        <f>H92-L92</f>
        <v>1.72E-2</v>
      </c>
      <c r="K92" s="363" t="s">
        <v>270</v>
      </c>
      <c r="L92" s="64">
        <v>1.0999999999999999E-2</v>
      </c>
      <c r="M92" s="363" t="s">
        <v>57</v>
      </c>
      <c r="N92" s="65">
        <v>30</v>
      </c>
      <c r="O92" s="363" t="s">
        <v>59</v>
      </c>
      <c r="P92" s="65">
        <v>30</v>
      </c>
      <c r="Q92" s="363" t="s">
        <v>60</v>
      </c>
      <c r="R92" s="65">
        <v>70</v>
      </c>
      <c r="S92" s="363" t="s">
        <v>61</v>
      </c>
      <c r="T92" s="65">
        <v>18</v>
      </c>
      <c r="U92" s="363" t="s">
        <v>54</v>
      </c>
      <c r="V92" s="66" t="s">
        <v>399</v>
      </c>
      <c r="W92" s="463" t="s">
        <v>392</v>
      </c>
      <c r="X92" s="465">
        <v>2.1</v>
      </c>
      <c r="Y92" s="463" t="s">
        <v>391</v>
      </c>
      <c r="Z92" s="358">
        <v>7</v>
      </c>
    </row>
    <row r="93" spans="1:26" x14ac:dyDescent="0.3">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3">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2.9" thickBot="1" x14ac:dyDescent="0.3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2.9" thickBot="1" x14ac:dyDescent="0.35">
      <c r="A96" s="12"/>
      <c r="L96" s="12"/>
      <c r="M96" s="12"/>
      <c r="N96" s="12"/>
      <c r="O96" s="12"/>
      <c r="P96" s="12"/>
      <c r="Q96" s="12"/>
      <c r="R96" s="12"/>
      <c r="S96" s="12"/>
      <c r="T96" s="12"/>
      <c r="U96" s="12"/>
      <c r="V96" s="12"/>
      <c r="W96" s="12"/>
      <c r="X96" s="12"/>
      <c r="Y96" s="12"/>
    </row>
    <row r="97" spans="1:26" ht="12.9" thickBot="1" x14ac:dyDescent="0.35">
      <c r="A97" s="361" t="s">
        <v>537</v>
      </c>
      <c r="B97" s="359">
        <f>ROW(A97)</f>
        <v>97</v>
      </c>
      <c r="C97" s="363" t="s">
        <v>115</v>
      </c>
      <c r="D97" s="353">
        <f>SUM(B100:Y100)</f>
        <v>39.923978000000005</v>
      </c>
      <c r="E97" s="363" t="s">
        <v>114</v>
      </c>
      <c r="F97" s="354">
        <f>D97/g/J97</f>
        <v>118.30588744280873</v>
      </c>
      <c r="G97" s="363" t="s">
        <v>56</v>
      </c>
      <c r="H97" s="64">
        <f>H92*2</f>
        <v>5.6399999999999999E-2</v>
      </c>
      <c r="I97" s="363" t="s">
        <v>269</v>
      </c>
      <c r="J97" s="355">
        <f>H97-L97</f>
        <v>3.44E-2</v>
      </c>
      <c r="K97" s="363" t="s">
        <v>270</v>
      </c>
      <c r="L97" s="64">
        <f>L92*2</f>
        <v>2.1999999999999999E-2</v>
      </c>
      <c r="M97" s="363" t="s">
        <v>57</v>
      </c>
      <c r="N97" s="65">
        <v>30</v>
      </c>
      <c r="O97" s="363" t="s">
        <v>59</v>
      </c>
      <c r="P97" s="65">
        <v>30</v>
      </c>
      <c r="Q97" s="363" t="s">
        <v>60</v>
      </c>
      <c r="R97" s="65">
        <v>70</v>
      </c>
      <c r="S97" s="363" t="s">
        <v>61</v>
      </c>
      <c r="T97" s="65">
        <v>30</v>
      </c>
      <c r="U97" s="363" t="s">
        <v>54</v>
      </c>
      <c r="V97" s="66" t="s">
        <v>399</v>
      </c>
      <c r="W97" s="463" t="s">
        <v>392</v>
      </c>
      <c r="X97" s="465">
        <v>2.1</v>
      </c>
      <c r="Y97" s="463" t="s">
        <v>391</v>
      </c>
      <c r="Z97" s="358">
        <v>7</v>
      </c>
    </row>
    <row r="98" spans="1:26" x14ac:dyDescent="0.3">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3">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2.9" thickBot="1" x14ac:dyDescent="0.3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2.9" thickBot="1" x14ac:dyDescent="0.3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2.9" thickBot="1" x14ac:dyDescent="0.35">
      <c r="A102" s="361" t="s">
        <v>538</v>
      </c>
      <c r="B102" s="359">
        <f>ROW(A102)</f>
        <v>102</v>
      </c>
      <c r="C102" s="363" t="s">
        <v>115</v>
      </c>
      <c r="D102" s="353">
        <f>SUM(B105:Y105)</f>
        <v>59.885967000000008</v>
      </c>
      <c r="E102" s="363" t="s">
        <v>114</v>
      </c>
      <c r="F102" s="354">
        <f>D102/g/J102</f>
        <v>118.30588744280874</v>
      </c>
      <c r="G102" s="363" t="s">
        <v>56</v>
      </c>
      <c r="H102" s="64">
        <f>H92*3</f>
        <v>8.4599999999999995E-2</v>
      </c>
      <c r="I102" s="363" t="s">
        <v>269</v>
      </c>
      <c r="J102" s="355">
        <f>H102-L102</f>
        <v>5.1599999999999993E-2</v>
      </c>
      <c r="K102" s="363" t="s">
        <v>270</v>
      </c>
      <c r="L102" s="64">
        <f>L92*3</f>
        <v>3.3000000000000002E-2</v>
      </c>
      <c r="M102" s="363" t="s">
        <v>57</v>
      </c>
      <c r="N102" s="65">
        <v>30</v>
      </c>
      <c r="O102" s="363" t="s">
        <v>59</v>
      </c>
      <c r="P102" s="65">
        <v>30</v>
      </c>
      <c r="Q102" s="363" t="s">
        <v>60</v>
      </c>
      <c r="R102" s="65">
        <v>70</v>
      </c>
      <c r="S102" s="363" t="s">
        <v>61</v>
      </c>
      <c r="T102" s="65">
        <v>40</v>
      </c>
      <c r="U102" s="363" t="s">
        <v>54</v>
      </c>
      <c r="V102" s="66" t="s">
        <v>399</v>
      </c>
      <c r="W102" s="463" t="s">
        <v>392</v>
      </c>
      <c r="X102" s="465">
        <v>2.1</v>
      </c>
      <c r="Y102" s="463" t="s">
        <v>391</v>
      </c>
      <c r="Z102" s="358">
        <v>7</v>
      </c>
    </row>
    <row r="103" spans="1:26" x14ac:dyDescent="0.3">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3">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2.9" thickBot="1" x14ac:dyDescent="0.3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2.9" thickBot="1" x14ac:dyDescent="0.35">
      <c r="A107" s="6" t="s">
        <v>315</v>
      </c>
    </row>
    <row r="108" spans="1:26" ht="12.9" thickBot="1" x14ac:dyDescent="0.35">
      <c r="A108" s="361" t="s">
        <v>317</v>
      </c>
      <c r="B108" s="359">
        <f>ROW(A108)</f>
        <v>108</v>
      </c>
      <c r="C108" s="363" t="s">
        <v>115</v>
      </c>
      <c r="D108" s="353">
        <f>SUM(B111:Y111)</f>
        <v>24.269519000000003</v>
      </c>
      <c r="E108" s="363" t="s">
        <v>114</v>
      </c>
      <c r="F108" s="354">
        <f>D108/g/J108</f>
        <v>154.62231778797147</v>
      </c>
      <c r="G108" s="363" t="s">
        <v>56</v>
      </c>
      <c r="H108" s="64">
        <v>5.1999999999999998E-2</v>
      </c>
      <c r="I108" s="363" t="s">
        <v>269</v>
      </c>
      <c r="J108" s="355">
        <f>H108-L108</f>
        <v>1.6E-2</v>
      </c>
      <c r="K108" s="363" t="s">
        <v>270</v>
      </c>
      <c r="L108" s="64">
        <v>3.5999999999999997E-2</v>
      </c>
      <c r="M108" s="363" t="s">
        <v>57</v>
      </c>
      <c r="N108" s="396">
        <v>35</v>
      </c>
      <c r="O108" s="363" t="s">
        <v>59</v>
      </c>
      <c r="P108" s="396">
        <v>35</v>
      </c>
      <c r="Q108" s="363" t="s">
        <v>60</v>
      </c>
      <c r="R108" s="65">
        <v>69</v>
      </c>
      <c r="S108" s="363" t="s">
        <v>61</v>
      </c>
      <c r="T108" s="65">
        <v>24</v>
      </c>
      <c r="U108" s="363" t="s">
        <v>54</v>
      </c>
      <c r="V108" s="66" t="s">
        <v>397</v>
      </c>
      <c r="W108" s="463" t="s">
        <v>392</v>
      </c>
      <c r="X108" s="465">
        <v>1</v>
      </c>
      <c r="Y108" s="463" t="s">
        <v>391</v>
      </c>
      <c r="Z108" s="358">
        <v>13</v>
      </c>
    </row>
    <row r="109" spans="1:26" x14ac:dyDescent="0.3">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3">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2.9" thickBot="1" x14ac:dyDescent="0.3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2.9" thickBot="1" x14ac:dyDescent="0.35"/>
    <row r="113" spans="1:26" ht="12.9" thickBot="1" x14ac:dyDescent="0.35">
      <c r="A113" s="361" t="s">
        <v>415</v>
      </c>
      <c r="B113" s="359">
        <f>ROW(A113)</f>
        <v>113</v>
      </c>
      <c r="C113" s="363" t="s">
        <v>115</v>
      </c>
      <c r="D113" s="353">
        <f>SUM(B116:Y116)</f>
        <v>24.488898000000002</v>
      </c>
      <c r="E113" s="363" t="s">
        <v>114</v>
      </c>
      <c r="F113" s="354">
        <f>D113/g/J113</f>
        <v>121.771701350041</v>
      </c>
      <c r="G113" s="363" t="s">
        <v>56</v>
      </c>
      <c r="H113" s="64">
        <v>5.6500000000000002E-2</v>
      </c>
      <c r="I113" s="363" t="s">
        <v>269</v>
      </c>
      <c r="J113" s="355">
        <f>H113-L113</f>
        <v>2.0500000000000004E-2</v>
      </c>
      <c r="K113" s="363" t="s">
        <v>270</v>
      </c>
      <c r="L113" s="64">
        <v>3.5999999999999997E-2</v>
      </c>
      <c r="M113" s="363" t="s">
        <v>57</v>
      </c>
      <c r="N113" s="396">
        <v>35</v>
      </c>
      <c r="O113" s="363" t="s">
        <v>59</v>
      </c>
      <c r="P113" s="396">
        <v>35</v>
      </c>
      <c r="Q113" s="363" t="s">
        <v>60</v>
      </c>
      <c r="R113" s="65">
        <v>69</v>
      </c>
      <c r="S113" s="363" t="s">
        <v>61</v>
      </c>
      <c r="T113" s="65">
        <v>24</v>
      </c>
      <c r="U113" s="363" t="s">
        <v>54</v>
      </c>
      <c r="V113" s="66" t="s">
        <v>398</v>
      </c>
      <c r="W113" s="463" t="s">
        <v>392</v>
      </c>
      <c r="X113" s="465">
        <v>0.33</v>
      </c>
      <c r="Y113" s="463" t="s">
        <v>391</v>
      </c>
      <c r="Z113" s="358">
        <v>17</v>
      </c>
    </row>
    <row r="114" spans="1:26" x14ac:dyDescent="0.3">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3">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2.9" thickBot="1" x14ac:dyDescent="0.3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2.9" thickBot="1" x14ac:dyDescent="0.35"/>
    <row r="118" spans="1:26" ht="12.9" thickBot="1" x14ac:dyDescent="0.35">
      <c r="A118" s="361" t="s">
        <v>318</v>
      </c>
      <c r="B118" s="359">
        <f>ROW(A118)</f>
        <v>118</v>
      </c>
      <c r="C118" s="363" t="s">
        <v>115</v>
      </c>
      <c r="D118" s="353">
        <f>SUM(B121:Y121)</f>
        <v>26.083982500000001</v>
      </c>
      <c r="E118" s="363" t="s">
        <v>114</v>
      </c>
      <c r="F118" s="354">
        <f>D118/g/J118</f>
        <v>166.18235537716615</v>
      </c>
      <c r="G118" s="363" t="s">
        <v>56</v>
      </c>
      <c r="H118" s="64">
        <v>5.1999999999999998E-2</v>
      </c>
      <c r="I118" s="363" t="s">
        <v>269</v>
      </c>
      <c r="J118" s="355">
        <f>H118-L118</f>
        <v>1.6E-2</v>
      </c>
      <c r="K118" s="363" t="s">
        <v>270</v>
      </c>
      <c r="L118" s="64">
        <v>3.5999999999999997E-2</v>
      </c>
      <c r="M118" s="363" t="s">
        <v>57</v>
      </c>
      <c r="N118" s="396">
        <v>35</v>
      </c>
      <c r="O118" s="363" t="s">
        <v>59</v>
      </c>
      <c r="P118" s="396">
        <v>35</v>
      </c>
      <c r="Q118" s="363" t="s">
        <v>60</v>
      </c>
      <c r="R118" s="65">
        <v>69</v>
      </c>
      <c r="S118" s="363" t="s">
        <v>61</v>
      </c>
      <c r="T118" s="65">
        <v>24</v>
      </c>
      <c r="U118" s="363" t="s">
        <v>54</v>
      </c>
      <c r="V118" s="66" t="s">
        <v>397</v>
      </c>
      <c r="W118" s="463" t="s">
        <v>392</v>
      </c>
      <c r="X118" s="465">
        <v>0.85</v>
      </c>
      <c r="Y118" s="463" t="s">
        <v>391</v>
      </c>
      <c r="Z118" s="358">
        <v>15</v>
      </c>
    </row>
    <row r="119" spans="1:26" x14ac:dyDescent="0.3">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3">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2.9" thickBot="1" x14ac:dyDescent="0.3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2.9" thickBot="1" x14ac:dyDescent="0.35">
      <c r="A122" s="6" t="s">
        <v>387</v>
      </c>
    </row>
    <row r="123" spans="1:26" ht="12.9" thickBot="1" x14ac:dyDescent="0.35">
      <c r="A123" s="361" t="s">
        <v>388</v>
      </c>
      <c r="B123" s="359">
        <f>ROW(A123)</f>
        <v>123</v>
      </c>
      <c r="C123" s="363" t="s">
        <v>115</v>
      </c>
      <c r="D123" s="353">
        <f>SUM(B126:Y126)</f>
        <v>49.788765499999997</v>
      </c>
      <c r="E123" s="363" t="s">
        <v>114</v>
      </c>
      <c r="F123" s="354">
        <v>231</v>
      </c>
      <c r="G123" s="363" t="s">
        <v>56</v>
      </c>
      <c r="H123" s="64">
        <v>7.2999999999999995E-2</v>
      </c>
      <c r="I123" s="363" t="s">
        <v>269</v>
      </c>
      <c r="J123" s="355">
        <f>H123-L123</f>
        <v>2.7999999999999997E-2</v>
      </c>
      <c r="K123" s="363" t="s">
        <v>270</v>
      </c>
      <c r="L123" s="64">
        <v>4.4999999999999998E-2</v>
      </c>
      <c r="M123" s="363" t="s">
        <v>57</v>
      </c>
      <c r="N123" s="396">
        <v>50</v>
      </c>
      <c r="O123" s="363" t="s">
        <v>59</v>
      </c>
      <c r="P123" s="396">
        <v>50</v>
      </c>
      <c r="Q123" s="363" t="s">
        <v>60</v>
      </c>
      <c r="R123" s="65">
        <v>101</v>
      </c>
      <c r="S123" s="363" t="s">
        <v>61</v>
      </c>
      <c r="T123" s="65">
        <v>24</v>
      </c>
      <c r="U123" s="363" t="s">
        <v>54</v>
      </c>
      <c r="V123" s="66" t="s">
        <v>119</v>
      </c>
      <c r="W123" s="463" t="s">
        <v>392</v>
      </c>
      <c r="X123" s="465">
        <v>1</v>
      </c>
      <c r="Y123" s="463" t="s">
        <v>391</v>
      </c>
      <c r="Z123" s="358">
        <v>13</v>
      </c>
    </row>
    <row r="124" spans="1:26" x14ac:dyDescent="0.3">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3">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2.9" thickBot="1" x14ac:dyDescent="0.3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2.9" thickBot="1" x14ac:dyDescent="0.35"/>
    <row r="128" spans="1:26" ht="12.9" thickBot="1" x14ac:dyDescent="0.35">
      <c r="A128" s="361" t="s">
        <v>389</v>
      </c>
      <c r="B128" s="359">
        <f>ROW(A128)</f>
        <v>128</v>
      </c>
      <c r="C128" s="363" t="s">
        <v>115</v>
      </c>
      <c r="D128" s="353">
        <f>SUM(B131:Y131)</f>
        <v>52.815674000000008</v>
      </c>
      <c r="E128" s="363" t="s">
        <v>114</v>
      </c>
      <c r="F128" s="354">
        <v>239</v>
      </c>
      <c r="G128" s="363" t="s">
        <v>56</v>
      </c>
      <c r="H128" s="64">
        <v>7.2999999999999995E-2</v>
      </c>
      <c r="I128" s="363" t="s">
        <v>269</v>
      </c>
      <c r="J128" s="355">
        <f>H128-L128</f>
        <v>2.8999999999999998E-2</v>
      </c>
      <c r="K128" s="363" t="s">
        <v>270</v>
      </c>
      <c r="L128" s="64">
        <v>4.3999999999999997E-2</v>
      </c>
      <c r="M128" s="363" t="s">
        <v>57</v>
      </c>
      <c r="N128" s="396">
        <v>50</v>
      </c>
      <c r="O128" s="363" t="s">
        <v>59</v>
      </c>
      <c r="P128" s="396">
        <v>50</v>
      </c>
      <c r="Q128" s="363" t="s">
        <v>60</v>
      </c>
      <c r="R128" s="65">
        <v>101</v>
      </c>
      <c r="S128" s="363" t="s">
        <v>61</v>
      </c>
      <c r="T128" s="65">
        <v>24</v>
      </c>
      <c r="U128" s="363" t="s">
        <v>54</v>
      </c>
      <c r="V128" s="66" t="s">
        <v>119</v>
      </c>
      <c r="W128" s="463" t="s">
        <v>392</v>
      </c>
      <c r="X128" s="465">
        <v>0.77</v>
      </c>
      <c r="Y128" s="463" t="s">
        <v>391</v>
      </c>
      <c r="Z128" s="358">
        <v>14</v>
      </c>
    </row>
    <row r="129" spans="1:26" x14ac:dyDescent="0.3">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3">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2.9" thickBot="1" x14ac:dyDescent="0.3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2.9" thickBot="1" x14ac:dyDescent="0.35">
      <c r="A132" s="6" t="s">
        <v>312</v>
      </c>
    </row>
    <row r="133" spans="1:26" ht="12.9" thickBot="1" x14ac:dyDescent="0.35">
      <c r="A133" s="361" t="s">
        <v>379</v>
      </c>
      <c r="B133" s="359">
        <f>ROW(A133)</f>
        <v>133</v>
      </c>
      <c r="C133" s="363" t="s">
        <v>115</v>
      </c>
      <c r="D133" s="353">
        <f>SUM(B136:Y136)</f>
        <v>41.835000000000015</v>
      </c>
      <c r="E133" s="363" t="s">
        <v>114</v>
      </c>
      <c r="F133" s="354">
        <f>D133/g/J133</f>
        <v>121.84359982525126</v>
      </c>
      <c r="G133" s="363" t="s">
        <v>56</v>
      </c>
      <c r="H133" s="64">
        <v>0.104</v>
      </c>
      <c r="I133" s="363" t="s">
        <v>269</v>
      </c>
      <c r="J133" s="355">
        <f>H133-L133</f>
        <v>3.4999999999999989E-2</v>
      </c>
      <c r="K133" s="363" t="s">
        <v>270</v>
      </c>
      <c r="L133" s="64">
        <v>6.9000000000000006E-2</v>
      </c>
      <c r="M133" s="363" t="s">
        <v>57</v>
      </c>
      <c r="N133" s="65">
        <v>49</v>
      </c>
      <c r="O133" s="363" t="s">
        <v>59</v>
      </c>
      <c r="P133" s="65">
        <v>49</v>
      </c>
      <c r="Q133" s="363" t="s">
        <v>60</v>
      </c>
      <c r="R133" s="65">
        <v>98</v>
      </c>
      <c r="S133" s="363" t="s">
        <v>61</v>
      </c>
      <c r="T133" s="65">
        <v>29</v>
      </c>
      <c r="U133" s="363" t="s">
        <v>54</v>
      </c>
      <c r="V133" s="66" t="s">
        <v>397</v>
      </c>
      <c r="W133" s="463" t="s">
        <v>392</v>
      </c>
      <c r="X133" s="465">
        <v>1.07</v>
      </c>
      <c r="Y133" s="463" t="s">
        <v>391</v>
      </c>
      <c r="Z133" s="358">
        <v>11</v>
      </c>
    </row>
    <row r="134" spans="1:26" x14ac:dyDescent="0.3">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3">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2.9" thickBot="1" x14ac:dyDescent="0.3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2.9" thickBot="1" x14ac:dyDescent="0.3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2.9" thickBot="1" x14ac:dyDescent="0.35">
      <c r="A138" s="361" t="s">
        <v>380</v>
      </c>
      <c r="B138" s="359">
        <f>ROW(A138)</f>
        <v>138</v>
      </c>
      <c r="C138" s="363" t="s">
        <v>115</v>
      </c>
      <c r="D138" s="353">
        <f>SUM(B141:Y141)</f>
        <v>52.564999999999998</v>
      </c>
      <c r="E138" s="363" t="s">
        <v>114</v>
      </c>
      <c r="F138" s="354">
        <f>D138/g/J138</f>
        <v>167.44712028542301</v>
      </c>
      <c r="G138" s="363" t="s">
        <v>56</v>
      </c>
      <c r="H138" s="64">
        <v>0.10100000000000001</v>
      </c>
      <c r="I138" s="363" t="s">
        <v>269</v>
      </c>
      <c r="J138" s="355">
        <f>H138-L138</f>
        <v>3.2000000000000001E-2</v>
      </c>
      <c r="K138" s="363" t="s">
        <v>270</v>
      </c>
      <c r="L138" s="64">
        <v>6.9000000000000006E-2</v>
      </c>
      <c r="M138" s="363" t="s">
        <v>57</v>
      </c>
      <c r="N138" s="65">
        <v>49</v>
      </c>
      <c r="O138" s="363" t="s">
        <v>59</v>
      </c>
      <c r="P138" s="65">
        <v>49</v>
      </c>
      <c r="Q138" s="363" t="s">
        <v>60</v>
      </c>
      <c r="R138" s="65">
        <v>98</v>
      </c>
      <c r="S138" s="363" t="s">
        <v>61</v>
      </c>
      <c r="T138" s="65">
        <v>29</v>
      </c>
      <c r="U138" s="363" t="s">
        <v>54</v>
      </c>
      <c r="V138" s="66" t="s">
        <v>398</v>
      </c>
      <c r="W138" s="463" t="s">
        <v>392</v>
      </c>
      <c r="X138" s="465">
        <v>1.8</v>
      </c>
      <c r="Y138" s="463" t="s">
        <v>391</v>
      </c>
      <c r="Z138" s="358">
        <v>12</v>
      </c>
    </row>
    <row r="139" spans="1:26" x14ac:dyDescent="0.3">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3">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2.9" thickBot="1" x14ac:dyDescent="0.3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2.9" thickBot="1" x14ac:dyDescent="0.3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2.9" thickBot="1" x14ac:dyDescent="0.35">
      <c r="A143" s="361" t="s">
        <v>381</v>
      </c>
      <c r="B143" s="359">
        <f>ROW(A143)</f>
        <v>143</v>
      </c>
      <c r="C143" s="363" t="s">
        <v>115</v>
      </c>
      <c r="D143" s="353">
        <f>SUM(B146:Y146)</f>
        <v>54.110016122119539</v>
      </c>
      <c r="E143" s="363" t="s">
        <v>114</v>
      </c>
      <c r="F143" s="354">
        <f>D143/g/J143</f>
        <v>146.69685764124625</v>
      </c>
      <c r="G143" s="363" t="s">
        <v>56</v>
      </c>
      <c r="H143" s="64">
        <v>0.10580000000000001</v>
      </c>
      <c r="I143" s="363" t="s">
        <v>269</v>
      </c>
      <c r="J143" s="355">
        <f>H143-L143</f>
        <v>3.7600000000000008E-2</v>
      </c>
      <c r="K143" s="363" t="s">
        <v>270</v>
      </c>
      <c r="L143" s="64">
        <v>6.8199999999999997E-2</v>
      </c>
      <c r="M143" s="363" t="s">
        <v>57</v>
      </c>
      <c r="N143" s="65">
        <v>49</v>
      </c>
      <c r="O143" s="363" t="s">
        <v>59</v>
      </c>
      <c r="P143" s="65">
        <v>49</v>
      </c>
      <c r="Q143" s="363" t="s">
        <v>60</v>
      </c>
      <c r="R143" s="65">
        <v>98</v>
      </c>
      <c r="S143" s="363" t="s">
        <v>61</v>
      </c>
      <c r="T143" s="65">
        <v>29</v>
      </c>
      <c r="U143" s="363" t="s">
        <v>54</v>
      </c>
      <c r="V143" s="66" t="s">
        <v>397</v>
      </c>
      <c r="W143" s="463" t="s">
        <v>392</v>
      </c>
      <c r="X143" s="465">
        <v>1.9</v>
      </c>
      <c r="Y143" s="463" t="s">
        <v>391</v>
      </c>
      <c r="Z143" s="358">
        <v>12</v>
      </c>
    </row>
    <row r="144" spans="1:26" x14ac:dyDescent="0.3">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3">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2.9" thickBot="1" x14ac:dyDescent="0.3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2.9" thickBot="1" x14ac:dyDescent="0.3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2.9" thickBot="1" x14ac:dyDescent="0.35">
      <c r="A148" s="361" t="s">
        <v>542</v>
      </c>
      <c r="B148" s="359">
        <f>ROW(A148)</f>
        <v>148</v>
      </c>
      <c r="C148" s="363" t="s">
        <v>115</v>
      </c>
      <c r="D148" s="353">
        <f>SUM(B151:Y151)</f>
        <v>55.589492</v>
      </c>
      <c r="E148" s="363" t="s">
        <v>114</v>
      </c>
      <c r="F148" s="354">
        <f>D148/g/J148</f>
        <v>177.08171508664634</v>
      </c>
      <c r="G148" s="363" t="s">
        <v>56</v>
      </c>
      <c r="H148" s="64">
        <v>0.10199999999999999</v>
      </c>
      <c r="I148" s="363" t="s">
        <v>269</v>
      </c>
      <c r="J148" s="355">
        <f>H148-L148</f>
        <v>3.1999999999999987E-2</v>
      </c>
      <c r="K148" s="363" t="s">
        <v>270</v>
      </c>
      <c r="L148" s="64">
        <v>7.0000000000000007E-2</v>
      </c>
      <c r="M148" s="363" t="s">
        <v>57</v>
      </c>
      <c r="N148" s="65">
        <v>49</v>
      </c>
      <c r="O148" s="363" t="s">
        <v>59</v>
      </c>
      <c r="P148" s="65">
        <v>49</v>
      </c>
      <c r="Q148" s="363" t="s">
        <v>60</v>
      </c>
      <c r="R148" s="65">
        <v>98</v>
      </c>
      <c r="S148" s="363" t="s">
        <v>61</v>
      </c>
      <c r="T148" s="65">
        <v>29</v>
      </c>
      <c r="U148" s="363" t="s">
        <v>54</v>
      </c>
      <c r="V148" s="66" t="s">
        <v>398</v>
      </c>
      <c r="W148" s="463" t="s">
        <v>392</v>
      </c>
      <c r="X148" s="465">
        <v>0.45</v>
      </c>
      <c r="Y148" s="463" t="s">
        <v>391</v>
      </c>
      <c r="Z148" s="358">
        <v>12</v>
      </c>
    </row>
    <row r="149" spans="1:26" x14ac:dyDescent="0.3">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3">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2.9" thickBot="1" x14ac:dyDescent="0.3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2.9" thickBot="1" x14ac:dyDescent="0.3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2.9" thickBot="1" x14ac:dyDescent="0.35">
      <c r="A153" s="361" t="s">
        <v>382</v>
      </c>
      <c r="B153" s="359">
        <f>ROW(A153)</f>
        <v>153</v>
      </c>
      <c r="C153" s="363" t="s">
        <v>115</v>
      </c>
      <c r="D153" s="353">
        <f>SUM(B156:Y156)</f>
        <v>55.705884500000003</v>
      </c>
      <c r="E153" s="363" t="s">
        <v>114</v>
      </c>
      <c r="F153" s="354">
        <f>D153/g/J153</f>
        <v>180.84329814241278</v>
      </c>
      <c r="G153" s="363" t="s">
        <v>56</v>
      </c>
      <c r="H153" s="64">
        <v>0.1062</v>
      </c>
      <c r="I153" s="363" t="s">
        <v>269</v>
      </c>
      <c r="J153" s="355">
        <f>H153-L153</f>
        <v>3.1400000000000011E-2</v>
      </c>
      <c r="K153" s="363" t="s">
        <v>270</v>
      </c>
      <c r="L153" s="64">
        <v>7.4799999999999991E-2</v>
      </c>
      <c r="M153" s="363" t="s">
        <v>57</v>
      </c>
      <c r="N153" s="65">
        <v>49</v>
      </c>
      <c r="O153" s="363" t="s">
        <v>59</v>
      </c>
      <c r="P153" s="65">
        <v>49</v>
      </c>
      <c r="Q153" s="363" t="s">
        <v>60</v>
      </c>
      <c r="R153" s="65">
        <v>98</v>
      </c>
      <c r="S153" s="363" t="s">
        <v>61</v>
      </c>
      <c r="T153" s="65">
        <v>29</v>
      </c>
      <c r="U153" s="363" t="s">
        <v>54</v>
      </c>
      <c r="V153" s="66" t="s">
        <v>398</v>
      </c>
      <c r="W153" s="463" t="s">
        <v>392</v>
      </c>
      <c r="X153" s="465">
        <v>0.45</v>
      </c>
      <c r="Y153" s="463" t="s">
        <v>391</v>
      </c>
      <c r="Z153" s="358">
        <v>14</v>
      </c>
    </row>
    <row r="154" spans="1:26" x14ac:dyDescent="0.3">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3">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2.9" thickBot="1" x14ac:dyDescent="0.3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2.9" thickBot="1" x14ac:dyDescent="0.3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2.9" thickBot="1" x14ac:dyDescent="0.35">
      <c r="A158" s="361" t="s">
        <v>383</v>
      </c>
      <c r="B158" s="359">
        <f>ROW(A158)</f>
        <v>158</v>
      </c>
      <c r="C158" s="363" t="s">
        <v>115</v>
      </c>
      <c r="D158" s="353">
        <f>SUM(B161:Y161)</f>
        <v>57.190000000000005</v>
      </c>
      <c r="E158" s="363" t="s">
        <v>114</v>
      </c>
      <c r="F158" s="354">
        <f>D158/g/J158</f>
        <v>188.05695307618953</v>
      </c>
      <c r="G158" s="363" t="s">
        <v>56</v>
      </c>
      <c r="H158" s="64">
        <v>9.9000000000000005E-2</v>
      </c>
      <c r="I158" s="363" t="s">
        <v>269</v>
      </c>
      <c r="J158" s="355">
        <f>H158-L158</f>
        <v>3.1E-2</v>
      </c>
      <c r="K158" s="363" t="s">
        <v>270</v>
      </c>
      <c r="L158" s="64">
        <v>6.8000000000000005E-2</v>
      </c>
      <c r="M158" s="363" t="s">
        <v>57</v>
      </c>
      <c r="N158" s="65">
        <v>49</v>
      </c>
      <c r="O158" s="363" t="s">
        <v>59</v>
      </c>
      <c r="P158" s="65">
        <v>49</v>
      </c>
      <c r="Q158" s="363" t="s">
        <v>60</v>
      </c>
      <c r="R158" s="65">
        <v>98</v>
      </c>
      <c r="S158" s="363" t="s">
        <v>61</v>
      </c>
      <c r="T158" s="65">
        <v>29</v>
      </c>
      <c r="U158" s="363" t="s">
        <v>54</v>
      </c>
      <c r="V158" s="66" t="s">
        <v>398</v>
      </c>
      <c r="W158" s="463" t="s">
        <v>392</v>
      </c>
      <c r="X158" s="465">
        <v>0.96</v>
      </c>
      <c r="Y158" s="463" t="s">
        <v>391</v>
      </c>
      <c r="Z158" s="358">
        <v>12</v>
      </c>
    </row>
    <row r="159" spans="1:26" x14ac:dyDescent="0.3">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3">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2.9" thickBot="1" x14ac:dyDescent="0.3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2.9" thickBot="1" x14ac:dyDescent="0.35">
      <c r="A162" s="6" t="s">
        <v>313</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2.9" thickBot="1" x14ac:dyDescent="0.35">
      <c r="A163" s="361" t="s">
        <v>319</v>
      </c>
      <c r="B163" s="359">
        <f>ROW(A163)</f>
        <v>163</v>
      </c>
      <c r="C163" s="363" t="s">
        <v>115</v>
      </c>
      <c r="D163" s="353">
        <f>SUM(B166:Y166)</f>
        <v>59.702267000000006</v>
      </c>
      <c r="E163" s="363" t="s">
        <v>114</v>
      </c>
      <c r="F163" s="354">
        <f>D163/g/J163</f>
        <v>190.77924771281306</v>
      </c>
      <c r="G163" s="363" t="s">
        <v>56</v>
      </c>
      <c r="H163" s="64">
        <v>9.3899999999999997E-2</v>
      </c>
      <c r="I163" s="363" t="s">
        <v>269</v>
      </c>
      <c r="J163" s="355">
        <f>H163-L163</f>
        <v>3.1899999999999998E-2</v>
      </c>
      <c r="K163" s="363" t="s">
        <v>270</v>
      </c>
      <c r="L163" s="64">
        <f>0.095-0.033</f>
        <v>6.2E-2</v>
      </c>
      <c r="M163" s="363" t="s">
        <v>57</v>
      </c>
      <c r="N163" s="396">
        <v>66.5</v>
      </c>
      <c r="O163" s="363" t="s">
        <v>59</v>
      </c>
      <c r="P163" s="396">
        <v>66.5</v>
      </c>
      <c r="Q163" s="363" t="s">
        <v>60</v>
      </c>
      <c r="R163" s="65">
        <v>133</v>
      </c>
      <c r="S163" s="363" t="s">
        <v>61</v>
      </c>
      <c r="T163" s="65">
        <v>24</v>
      </c>
      <c r="U163" s="363" t="s">
        <v>54</v>
      </c>
      <c r="V163" s="66" t="s">
        <v>397</v>
      </c>
      <c r="W163" s="463" t="s">
        <v>392</v>
      </c>
      <c r="X163" s="465">
        <v>1.2</v>
      </c>
      <c r="Y163" s="463" t="s">
        <v>391</v>
      </c>
      <c r="Z163" s="358">
        <v>13</v>
      </c>
    </row>
    <row r="164" spans="1:26" x14ac:dyDescent="0.3">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3">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2.9" thickBot="1" x14ac:dyDescent="0.3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2.9" thickBot="1" x14ac:dyDescent="0.35"/>
    <row r="168" spans="1:26" ht="12.9" thickBot="1" x14ac:dyDescent="0.35">
      <c r="A168" s="361" t="s">
        <v>320</v>
      </c>
      <c r="B168" s="359">
        <f>ROW(A168)</f>
        <v>168</v>
      </c>
      <c r="C168" s="363" t="s">
        <v>115</v>
      </c>
      <c r="D168" s="353">
        <f>SUM(B171:Y171)</f>
        <v>68.380602999999994</v>
      </c>
      <c r="E168" s="363" t="s">
        <v>114</v>
      </c>
      <c r="F168" s="354">
        <f>D168/g/J168</f>
        <v>134.04807300243078</v>
      </c>
      <c r="G168" s="363" t="s">
        <v>56</v>
      </c>
      <c r="H168" s="64">
        <v>0.1075</v>
      </c>
      <c r="I168" s="363" t="s">
        <v>269</v>
      </c>
      <c r="J168" s="355">
        <f>H168-L168</f>
        <v>5.1999999999999998E-2</v>
      </c>
      <c r="K168" s="363" t="s">
        <v>270</v>
      </c>
      <c r="L168" s="64">
        <v>5.5500000000000001E-2</v>
      </c>
      <c r="M168" s="363" t="s">
        <v>57</v>
      </c>
      <c r="N168" s="396">
        <v>66.5</v>
      </c>
      <c r="O168" s="363" t="s">
        <v>59</v>
      </c>
      <c r="P168" s="396">
        <v>66.5</v>
      </c>
      <c r="Q168" s="363" t="s">
        <v>60</v>
      </c>
      <c r="R168" s="65">
        <v>133</v>
      </c>
      <c r="S168" s="363" t="s">
        <v>61</v>
      </c>
      <c r="T168" s="65">
        <v>24</v>
      </c>
      <c r="U168" s="363" t="s">
        <v>54</v>
      </c>
      <c r="V168" s="66" t="s">
        <v>397</v>
      </c>
      <c r="W168" s="463" t="s">
        <v>392</v>
      </c>
      <c r="X168" s="465">
        <v>0.86</v>
      </c>
      <c r="Y168" s="463" t="s">
        <v>391</v>
      </c>
      <c r="Z168" s="358">
        <v>13</v>
      </c>
    </row>
    <row r="169" spans="1:26" x14ac:dyDescent="0.3">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3">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2.9" thickBot="1" x14ac:dyDescent="0.3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2.9" thickBot="1" x14ac:dyDescent="0.3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2.9" thickBot="1" x14ac:dyDescent="0.35">
      <c r="A173" s="361" t="s">
        <v>321</v>
      </c>
      <c r="B173" s="359">
        <f>ROW(A173)</f>
        <v>173</v>
      </c>
      <c r="C173" s="363" t="s">
        <v>115</v>
      </c>
      <c r="D173" s="353">
        <f>SUM(B176:Y176)</f>
        <v>67.985428500000012</v>
      </c>
      <c r="E173" s="363" t="s">
        <v>114</v>
      </c>
      <c r="F173" s="354">
        <f>D173/g/J173</f>
        <v>181.89545859519862</v>
      </c>
      <c r="G173" s="363" t="s">
        <v>56</v>
      </c>
      <c r="H173" s="64">
        <v>9.1799999999999993E-2</v>
      </c>
      <c r="I173" s="363" t="s">
        <v>269</v>
      </c>
      <c r="J173" s="355">
        <f>H173-L173</f>
        <v>3.8099999999999988E-2</v>
      </c>
      <c r="K173" s="363" t="s">
        <v>270</v>
      </c>
      <c r="L173" s="64">
        <v>5.3700000000000005E-2</v>
      </c>
      <c r="M173" s="363" t="s">
        <v>57</v>
      </c>
      <c r="N173" s="396">
        <v>66.5</v>
      </c>
      <c r="O173" s="363" t="s">
        <v>59</v>
      </c>
      <c r="P173" s="396">
        <v>66.5</v>
      </c>
      <c r="Q173" s="363" t="s">
        <v>60</v>
      </c>
      <c r="R173" s="65">
        <v>133</v>
      </c>
      <c r="S173" s="363" t="s">
        <v>61</v>
      </c>
      <c r="T173" s="65">
        <v>24</v>
      </c>
      <c r="U173" s="363" t="s">
        <v>54</v>
      </c>
      <c r="V173" s="66" t="s">
        <v>397</v>
      </c>
      <c r="W173" s="463" t="s">
        <v>392</v>
      </c>
      <c r="X173" s="465">
        <v>0.33</v>
      </c>
      <c r="Y173" s="463" t="s">
        <v>391</v>
      </c>
      <c r="Z173" s="358">
        <v>15</v>
      </c>
    </row>
    <row r="174" spans="1:26" x14ac:dyDescent="0.3">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3">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2.9" thickBot="1" x14ac:dyDescent="0.3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2.9" thickBot="1" x14ac:dyDescent="0.3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2.9" thickBot="1" x14ac:dyDescent="0.35">
      <c r="A178" s="361" t="s">
        <v>322</v>
      </c>
      <c r="B178" s="359">
        <f>ROW(A178)</f>
        <v>178</v>
      </c>
      <c r="C178" s="363" t="s">
        <v>115</v>
      </c>
      <c r="D178" s="353">
        <f>SUM(B181:Y181)</f>
        <v>73.557381500000005</v>
      </c>
      <c r="E178" s="363" t="s">
        <v>114</v>
      </c>
      <c r="F178" s="354">
        <f>D178/g/J178</f>
        <v>156.86619302308719</v>
      </c>
      <c r="G178" s="363" t="s">
        <v>56</v>
      </c>
      <c r="H178" s="64">
        <v>0.1022</v>
      </c>
      <c r="I178" s="363" t="s">
        <v>269</v>
      </c>
      <c r="J178" s="355">
        <f>H178-L178</f>
        <v>4.7800000000000002E-2</v>
      </c>
      <c r="K178" s="363" t="s">
        <v>270</v>
      </c>
      <c r="L178" s="64">
        <v>5.4399999999999997E-2</v>
      </c>
      <c r="M178" s="363" t="s">
        <v>57</v>
      </c>
      <c r="N178" s="396">
        <v>66.5</v>
      </c>
      <c r="O178" s="363" t="s">
        <v>59</v>
      </c>
      <c r="P178" s="396">
        <v>66.5</v>
      </c>
      <c r="Q178" s="363" t="s">
        <v>60</v>
      </c>
      <c r="R178" s="65">
        <v>133</v>
      </c>
      <c r="S178" s="363" t="s">
        <v>61</v>
      </c>
      <c r="T178" s="65">
        <v>24</v>
      </c>
      <c r="U178" s="363" t="s">
        <v>54</v>
      </c>
      <c r="V178" s="66" t="s">
        <v>397</v>
      </c>
      <c r="W178" s="463" t="s">
        <v>392</v>
      </c>
      <c r="X178" s="465">
        <v>2.36</v>
      </c>
      <c r="Y178" s="463" t="s">
        <v>391</v>
      </c>
      <c r="Z178" s="358">
        <v>6</v>
      </c>
    </row>
    <row r="179" spans="1:26" x14ac:dyDescent="0.3">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3">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2.9" thickBot="1" x14ac:dyDescent="0.3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2.9" thickBot="1" x14ac:dyDescent="0.3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2.9" thickBot="1" x14ac:dyDescent="0.35">
      <c r="A183" s="361" t="s">
        <v>323</v>
      </c>
      <c r="B183" s="359">
        <f>ROW(A183)</f>
        <v>183</v>
      </c>
      <c r="C183" s="363" t="s">
        <v>115</v>
      </c>
      <c r="D183" s="353">
        <f>SUM(B186:Y186)</f>
        <v>73.169517999999997</v>
      </c>
      <c r="E183" s="363" t="s">
        <v>114</v>
      </c>
      <c r="F183" s="354">
        <f>D183/g/J183</f>
        <v>177.58729673316827</v>
      </c>
      <c r="G183" s="363" t="s">
        <v>56</v>
      </c>
      <c r="H183" s="64">
        <v>9.6000000000000002E-2</v>
      </c>
      <c r="I183" s="363" t="s">
        <v>269</v>
      </c>
      <c r="J183" s="355">
        <f>H183-L183</f>
        <v>4.2000000000000003E-2</v>
      </c>
      <c r="K183" s="363" t="s">
        <v>270</v>
      </c>
      <c r="L183" s="64">
        <v>5.3999999999999999E-2</v>
      </c>
      <c r="M183" s="363" t="s">
        <v>57</v>
      </c>
      <c r="N183" s="396">
        <v>66.5</v>
      </c>
      <c r="O183" s="363" t="s">
        <v>59</v>
      </c>
      <c r="P183" s="396">
        <v>66.5</v>
      </c>
      <c r="Q183" s="363" t="s">
        <v>60</v>
      </c>
      <c r="R183" s="65">
        <v>133</v>
      </c>
      <c r="S183" s="363" t="s">
        <v>61</v>
      </c>
      <c r="T183" s="65">
        <v>24</v>
      </c>
      <c r="U183" s="363" t="s">
        <v>54</v>
      </c>
      <c r="V183" s="66" t="s">
        <v>398</v>
      </c>
      <c r="W183" s="463" t="s">
        <v>392</v>
      </c>
      <c r="X183" s="465">
        <v>0.87</v>
      </c>
      <c r="Y183" s="463" t="s">
        <v>391</v>
      </c>
      <c r="Z183" s="358">
        <v>15</v>
      </c>
    </row>
    <row r="184" spans="1:26" x14ac:dyDescent="0.3">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3">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2.9" thickBot="1" x14ac:dyDescent="0.3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2.9" thickBot="1" x14ac:dyDescent="0.3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2.9" thickBot="1" x14ac:dyDescent="0.35">
      <c r="A188" s="361" t="s">
        <v>324</v>
      </c>
      <c r="B188" s="359">
        <f>ROW(A188)</f>
        <v>188</v>
      </c>
      <c r="C188" s="363" t="s">
        <v>115</v>
      </c>
      <c r="D188" s="353">
        <f>SUM(B191:Y191)</f>
        <v>75.254384000000016</v>
      </c>
      <c r="E188" s="363" t="s">
        <v>114</v>
      </c>
      <c r="F188" s="354">
        <f>D188/g/J188</f>
        <v>232.46033422914161</v>
      </c>
      <c r="G188" s="363" t="s">
        <v>56</v>
      </c>
      <c r="H188" s="64">
        <v>9.5000000000000001E-2</v>
      </c>
      <c r="I188" s="363" t="s">
        <v>269</v>
      </c>
      <c r="J188" s="355">
        <f>H188-L188</f>
        <v>3.3000000000000002E-2</v>
      </c>
      <c r="K188" s="363" t="s">
        <v>270</v>
      </c>
      <c r="L188" s="64">
        <f>0.095-0.033</f>
        <v>6.2E-2</v>
      </c>
      <c r="M188" s="363" t="s">
        <v>57</v>
      </c>
      <c r="N188" s="396">
        <v>66.5</v>
      </c>
      <c r="O188" s="363" t="s">
        <v>59</v>
      </c>
      <c r="P188" s="396">
        <v>66.5</v>
      </c>
      <c r="Q188" s="363" t="s">
        <v>60</v>
      </c>
      <c r="R188" s="65">
        <v>133</v>
      </c>
      <c r="S188" s="363" t="s">
        <v>61</v>
      </c>
      <c r="T188" s="65">
        <v>24</v>
      </c>
      <c r="U188" s="363" t="s">
        <v>54</v>
      </c>
      <c r="V188" s="66" t="s">
        <v>398</v>
      </c>
      <c r="W188" s="463" t="s">
        <v>392</v>
      </c>
      <c r="X188" s="465">
        <v>1.5</v>
      </c>
      <c r="Y188" s="463" t="s">
        <v>391</v>
      </c>
      <c r="Z188" s="358">
        <v>12</v>
      </c>
    </row>
    <row r="189" spans="1:26" x14ac:dyDescent="0.3">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3">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2.9" thickBot="1" x14ac:dyDescent="0.3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2.9" thickBot="1" x14ac:dyDescent="0.35">
      <c r="A192" s="6" t="s">
        <v>371</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2.9" thickBot="1" x14ac:dyDescent="0.35">
      <c r="A193" s="361" t="s">
        <v>534</v>
      </c>
      <c r="B193" s="359">
        <f>ROW(A193)</f>
        <v>193</v>
      </c>
      <c r="C193" s="363" t="s">
        <v>115</v>
      </c>
      <c r="D193" s="353">
        <f>SUM(B196:Y196)</f>
        <v>141.04999999999998</v>
      </c>
      <c r="E193" s="363" t="s">
        <v>114</v>
      </c>
      <c r="F193" s="354">
        <f>D193/g/J193</f>
        <v>186.24592648930721</v>
      </c>
      <c r="G193" s="363" t="s">
        <v>56</v>
      </c>
      <c r="H193" s="64">
        <v>0.16189999999999999</v>
      </c>
      <c r="I193" s="363" t="s">
        <v>269</v>
      </c>
      <c r="J193" s="355">
        <f>H193-L193</f>
        <v>7.7199999999999991E-2</v>
      </c>
      <c r="K193" s="363" t="s">
        <v>270</v>
      </c>
      <c r="L193" s="64">
        <v>8.4699999999999998E-2</v>
      </c>
      <c r="M193" s="363" t="s">
        <v>57</v>
      </c>
      <c r="N193" s="65">
        <v>114</v>
      </c>
      <c r="O193" s="363" t="s">
        <v>59</v>
      </c>
      <c r="P193" s="65">
        <v>114</v>
      </c>
      <c r="Q193" s="363" t="s">
        <v>60</v>
      </c>
      <c r="R193" s="65">
        <v>228</v>
      </c>
      <c r="S193" s="363" t="s">
        <v>61</v>
      </c>
      <c r="T193" s="65">
        <v>24</v>
      </c>
      <c r="U193" s="363" t="s">
        <v>54</v>
      </c>
      <c r="V193" s="66" t="s">
        <v>119</v>
      </c>
      <c r="W193" s="463" t="s">
        <v>392</v>
      </c>
      <c r="X193" s="465">
        <v>0.96</v>
      </c>
      <c r="Y193" s="463" t="s">
        <v>391</v>
      </c>
      <c r="Z193" s="358">
        <v>15</v>
      </c>
    </row>
    <row r="194" spans="1:26" x14ac:dyDescent="0.3">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3">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2.9" thickBot="1" x14ac:dyDescent="0.3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2.9" thickBot="1" x14ac:dyDescent="0.35">
      <c r="A197" s="12" t="s">
        <v>543</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2.9" thickBot="1" x14ac:dyDescent="0.35">
      <c r="A198" s="361" t="s">
        <v>546</v>
      </c>
      <c r="B198" s="359">
        <f>ROW(A198)</f>
        <v>198</v>
      </c>
      <c r="C198" s="363" t="s">
        <v>115</v>
      </c>
      <c r="D198" s="353">
        <f>SUM(B201:Y201)</f>
        <v>142.44</v>
      </c>
      <c r="E198" s="363" t="s">
        <v>114</v>
      </c>
      <c r="F198" s="354">
        <f>D198/g/J198</f>
        <v>192.06187401906058</v>
      </c>
      <c r="G198" s="363" t="s">
        <v>56</v>
      </c>
      <c r="H198" s="64">
        <v>0.15989999999999999</v>
      </c>
      <c r="I198" s="363" t="s">
        <v>269</v>
      </c>
      <c r="J198" s="355">
        <f>H198-L198</f>
        <v>7.5599999999999987E-2</v>
      </c>
      <c r="K198" s="363" t="s">
        <v>270</v>
      </c>
      <c r="L198" s="64">
        <v>8.43E-2</v>
      </c>
      <c r="M198" s="363" t="s">
        <v>57</v>
      </c>
      <c r="N198" s="65">
        <v>114</v>
      </c>
      <c r="O198" s="363" t="s">
        <v>59</v>
      </c>
      <c r="P198" s="65">
        <v>114</v>
      </c>
      <c r="Q198" s="363" t="s">
        <v>60</v>
      </c>
      <c r="R198" s="65">
        <v>228</v>
      </c>
      <c r="S198" s="363" t="s">
        <v>61</v>
      </c>
      <c r="T198" s="65">
        <v>24</v>
      </c>
      <c r="U198" s="363" t="s">
        <v>54</v>
      </c>
      <c r="V198" s="66" t="s">
        <v>399</v>
      </c>
      <c r="W198" s="463" t="s">
        <v>392</v>
      </c>
      <c r="X198" s="465">
        <v>0.97</v>
      </c>
      <c r="Y198" s="463" t="s">
        <v>391</v>
      </c>
      <c r="Z198" s="358">
        <v>13</v>
      </c>
    </row>
    <row r="199" spans="1:26" x14ac:dyDescent="0.3">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3">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2.9" thickBot="1" x14ac:dyDescent="0.3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2.9" thickBot="1" x14ac:dyDescent="0.3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2.9" thickBot="1" x14ac:dyDescent="0.35">
      <c r="A203" s="361" t="s">
        <v>536</v>
      </c>
      <c r="B203" s="359">
        <f>ROW(A203)</f>
        <v>203</v>
      </c>
      <c r="C203" s="363" t="s">
        <v>115</v>
      </c>
      <c r="D203" s="353">
        <f>SUM(B206:Y206)</f>
        <v>143.08845000000002</v>
      </c>
      <c r="E203" s="363" t="s">
        <v>114</v>
      </c>
      <c r="F203" s="354">
        <f>D203/g/J203</f>
        <v>168.23504721190514</v>
      </c>
      <c r="G203" s="363" t="s">
        <v>56</v>
      </c>
      <c r="H203" s="64">
        <v>0.17249999999999999</v>
      </c>
      <c r="I203" s="363" t="s">
        <v>269</v>
      </c>
      <c r="J203" s="355">
        <f>H203-L203</f>
        <v>8.6699999999999985E-2</v>
      </c>
      <c r="K203" s="363" t="s">
        <v>270</v>
      </c>
      <c r="L203" s="64">
        <v>8.5800000000000001E-2</v>
      </c>
      <c r="M203" s="363" t="s">
        <v>57</v>
      </c>
      <c r="N203" s="65">
        <v>114</v>
      </c>
      <c r="O203" s="363" t="s">
        <v>59</v>
      </c>
      <c r="P203" s="65">
        <v>114</v>
      </c>
      <c r="Q203" s="363" t="s">
        <v>60</v>
      </c>
      <c r="R203" s="65">
        <v>228</v>
      </c>
      <c r="S203" s="363" t="s">
        <v>61</v>
      </c>
      <c r="T203" s="65">
        <v>24</v>
      </c>
      <c r="U203" s="363" t="s">
        <v>54</v>
      </c>
      <c r="V203" s="66" t="s">
        <v>119</v>
      </c>
      <c r="W203" s="463" t="s">
        <v>392</v>
      </c>
      <c r="X203" s="465">
        <v>0.97</v>
      </c>
      <c r="Y203" s="463" t="s">
        <v>391</v>
      </c>
      <c r="Z203" s="358">
        <v>11</v>
      </c>
    </row>
    <row r="204" spans="1:26" x14ac:dyDescent="0.3">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3">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2.9" thickBot="1" x14ac:dyDescent="0.3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2.9" thickBot="1" x14ac:dyDescent="0.3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2.9" thickBot="1" x14ac:dyDescent="0.35">
      <c r="A208" s="361" t="s">
        <v>535</v>
      </c>
      <c r="B208" s="359">
        <f>ROW(A208)</f>
        <v>208</v>
      </c>
      <c r="C208" s="363" t="s">
        <v>115</v>
      </c>
      <c r="D208" s="353">
        <f>SUM(B211:Y211)</f>
        <v>139.423417</v>
      </c>
      <c r="E208" s="363" t="s">
        <v>114</v>
      </c>
      <c r="F208" s="354">
        <f>D208/g/J208</f>
        <v>158.62027745922524</v>
      </c>
      <c r="G208" s="363" t="s">
        <v>56</v>
      </c>
      <c r="H208" s="64">
        <v>0.19450000000000001</v>
      </c>
      <c r="I208" s="363" t="s">
        <v>269</v>
      </c>
      <c r="J208" s="355">
        <f>H208-L208</f>
        <v>8.9600000000000013E-2</v>
      </c>
      <c r="K208" s="363" t="s">
        <v>270</v>
      </c>
      <c r="L208" s="64">
        <v>0.10489999999999999</v>
      </c>
      <c r="M208" s="363" t="s">
        <v>57</v>
      </c>
      <c r="N208" s="65">
        <v>114</v>
      </c>
      <c r="O208" s="363" t="s">
        <v>59</v>
      </c>
      <c r="P208" s="65">
        <v>144</v>
      </c>
      <c r="Q208" s="363" t="s">
        <v>60</v>
      </c>
      <c r="R208" s="65">
        <v>228</v>
      </c>
      <c r="S208" s="363" t="s">
        <v>61</v>
      </c>
      <c r="T208" s="65">
        <v>24</v>
      </c>
      <c r="U208" s="363" t="s">
        <v>54</v>
      </c>
      <c r="V208" s="66" t="s">
        <v>119</v>
      </c>
      <c r="W208" s="463" t="s">
        <v>392</v>
      </c>
      <c r="X208" s="465">
        <v>1.3</v>
      </c>
      <c r="Y208" s="463" t="s">
        <v>391</v>
      </c>
      <c r="Z208" s="358">
        <v>12</v>
      </c>
    </row>
    <row r="209" spans="1:26" x14ac:dyDescent="0.3">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3">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2.9" thickBot="1" x14ac:dyDescent="0.3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2.9" thickBot="1" x14ac:dyDescent="0.35">
      <c r="A212" s="6" t="s">
        <v>314</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2.9" thickBot="1" x14ac:dyDescent="0.35">
      <c r="A213" s="361" t="s">
        <v>373</v>
      </c>
      <c r="B213" s="359">
        <f>ROW(A213)</f>
        <v>213</v>
      </c>
      <c r="C213" s="363" t="s">
        <v>115</v>
      </c>
      <c r="D213" s="353">
        <f>SUM(B216:Y216)</f>
        <v>82.798500000000018</v>
      </c>
      <c r="E213" s="363" t="s">
        <v>114</v>
      </c>
      <c r="F213" s="354">
        <f>D213/g/J213</f>
        <v>131.87834480122325</v>
      </c>
      <c r="G213" s="363" t="s">
        <v>56</v>
      </c>
      <c r="H213" s="64">
        <v>0.152</v>
      </c>
      <c r="I213" s="363" t="s">
        <v>269</v>
      </c>
      <c r="J213" s="355">
        <f>H213-L213</f>
        <v>6.4000000000000001E-2</v>
      </c>
      <c r="K213" s="363" t="s">
        <v>270</v>
      </c>
      <c r="L213" s="64">
        <v>8.7999999999999995E-2</v>
      </c>
      <c r="M213" s="363" t="s">
        <v>57</v>
      </c>
      <c r="N213" s="65">
        <v>71</v>
      </c>
      <c r="O213" s="363" t="s">
        <v>59</v>
      </c>
      <c r="P213" s="65">
        <v>71</v>
      </c>
      <c r="Q213" s="363" t="s">
        <v>60</v>
      </c>
      <c r="R213" s="65">
        <v>142</v>
      </c>
      <c r="S213" s="363" t="s">
        <v>61</v>
      </c>
      <c r="T213" s="65">
        <v>29</v>
      </c>
      <c r="U213" s="363" t="s">
        <v>54</v>
      </c>
      <c r="V213" s="66" t="s">
        <v>119</v>
      </c>
      <c r="W213" s="463" t="s">
        <v>392</v>
      </c>
      <c r="X213" s="465">
        <v>0.96</v>
      </c>
      <c r="Y213" s="463" t="s">
        <v>391</v>
      </c>
      <c r="Z213" s="358">
        <v>11</v>
      </c>
    </row>
    <row r="214" spans="1:26" x14ac:dyDescent="0.3">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3">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2.9" thickBot="1" x14ac:dyDescent="0.3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2.9" thickBot="1" x14ac:dyDescent="0.3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2.9" thickBot="1" x14ac:dyDescent="0.35">
      <c r="A218" s="361" t="s">
        <v>374</v>
      </c>
      <c r="B218" s="359">
        <f>ROW(A218)</f>
        <v>218</v>
      </c>
      <c r="C218" s="363" t="s">
        <v>115</v>
      </c>
      <c r="D218" s="353">
        <f>SUM(B221:Y221)</f>
        <v>98.257101163036367</v>
      </c>
      <c r="E218" s="363" t="s">
        <v>114</v>
      </c>
      <c r="F218" s="354">
        <f>D218/g/J218</f>
        <v>177.58890761893778</v>
      </c>
      <c r="G218" s="363" t="s">
        <v>56</v>
      </c>
      <c r="H218" s="64">
        <v>0.14319999999999999</v>
      </c>
      <c r="I218" s="363" t="s">
        <v>269</v>
      </c>
      <c r="J218" s="355">
        <f>H218-L218</f>
        <v>5.6399999999999992E-2</v>
      </c>
      <c r="K218" s="363" t="s">
        <v>270</v>
      </c>
      <c r="L218" s="64">
        <v>8.6800000000000002E-2</v>
      </c>
      <c r="M218" s="363" t="s">
        <v>57</v>
      </c>
      <c r="N218" s="65">
        <v>71</v>
      </c>
      <c r="O218" s="363" t="s">
        <v>59</v>
      </c>
      <c r="P218" s="65">
        <v>71</v>
      </c>
      <c r="Q218" s="363" t="s">
        <v>60</v>
      </c>
      <c r="R218" s="65">
        <v>142</v>
      </c>
      <c r="S218" s="363" t="s">
        <v>61</v>
      </c>
      <c r="T218" s="65">
        <v>29</v>
      </c>
      <c r="U218" s="363" t="s">
        <v>54</v>
      </c>
      <c r="V218" s="66" t="s">
        <v>119</v>
      </c>
      <c r="W218" s="463" t="s">
        <v>392</v>
      </c>
      <c r="X218" s="465">
        <v>1.1499999999999999</v>
      </c>
      <c r="Y218" s="463" t="s">
        <v>391</v>
      </c>
      <c r="Z218" s="358">
        <v>14</v>
      </c>
    </row>
    <row r="219" spans="1:26" x14ac:dyDescent="0.3">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3">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2.9" thickBot="1" x14ac:dyDescent="0.3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2.9" thickBot="1" x14ac:dyDescent="0.3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2.9" thickBot="1" x14ac:dyDescent="0.35">
      <c r="A223" s="361" t="s">
        <v>375</v>
      </c>
      <c r="B223" s="359">
        <f>ROW(A223)</f>
        <v>223</v>
      </c>
      <c r="C223" s="363" t="s">
        <v>115</v>
      </c>
      <c r="D223" s="353">
        <f>SUM(B226:Y226)</f>
        <v>109.60639850000001</v>
      </c>
      <c r="E223" s="363" t="s">
        <v>114</v>
      </c>
      <c r="F223" s="354">
        <f>D223/g/J223</f>
        <v>194.31174666489383</v>
      </c>
      <c r="G223" s="363" t="s">
        <v>56</v>
      </c>
      <c r="H223" s="64">
        <v>0.14130000000000001</v>
      </c>
      <c r="I223" s="363" t="s">
        <v>269</v>
      </c>
      <c r="J223" s="355">
        <f>H223-L223</f>
        <v>5.7500000000000009E-2</v>
      </c>
      <c r="K223" s="363" t="s">
        <v>270</v>
      </c>
      <c r="L223" s="64">
        <v>8.3799999999999999E-2</v>
      </c>
      <c r="M223" s="363" t="s">
        <v>57</v>
      </c>
      <c r="N223" s="65">
        <v>71</v>
      </c>
      <c r="O223" s="363" t="s">
        <v>59</v>
      </c>
      <c r="P223" s="65">
        <v>71</v>
      </c>
      <c r="Q223" s="363" t="s">
        <v>60</v>
      </c>
      <c r="R223" s="65">
        <v>142</v>
      </c>
      <c r="S223" s="363" t="s">
        <v>61</v>
      </c>
      <c r="T223" s="65">
        <v>29</v>
      </c>
      <c r="U223" s="363" t="s">
        <v>54</v>
      </c>
      <c r="V223" s="66" t="s">
        <v>399</v>
      </c>
      <c r="W223" s="463" t="s">
        <v>392</v>
      </c>
      <c r="X223" s="465">
        <v>0.45</v>
      </c>
      <c r="Y223" s="463" t="s">
        <v>391</v>
      </c>
      <c r="Z223" s="358">
        <v>14</v>
      </c>
    </row>
    <row r="224" spans="1:26" x14ac:dyDescent="0.3">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3">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2.9" thickBot="1" x14ac:dyDescent="0.3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2.9" thickBot="1" x14ac:dyDescent="0.3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2.9" thickBot="1" x14ac:dyDescent="0.35">
      <c r="A228" s="361" t="s">
        <v>376</v>
      </c>
      <c r="B228" s="359">
        <f>ROW(A228)</f>
        <v>228</v>
      </c>
      <c r="C228" s="363" t="s">
        <v>115</v>
      </c>
      <c r="D228" s="353">
        <f>SUM(B231:Y231)</f>
        <v>115.63</v>
      </c>
      <c r="E228" s="363" t="s">
        <v>114</v>
      </c>
      <c r="F228" s="354">
        <f>D228/g/J228</f>
        <v>199.77884897804037</v>
      </c>
      <c r="G228" s="363" t="s">
        <v>56</v>
      </c>
      <c r="H228" s="64">
        <v>0.14499999999999999</v>
      </c>
      <c r="I228" s="363" t="s">
        <v>269</v>
      </c>
      <c r="J228" s="355">
        <f>H228-L228</f>
        <v>5.8999999999999997E-2</v>
      </c>
      <c r="K228" s="363" t="s">
        <v>270</v>
      </c>
      <c r="L228" s="64">
        <v>8.5999999999999993E-2</v>
      </c>
      <c r="M228" s="363" t="s">
        <v>57</v>
      </c>
      <c r="N228" s="65">
        <v>71</v>
      </c>
      <c r="O228" s="363" t="s">
        <v>59</v>
      </c>
      <c r="P228" s="65">
        <v>71</v>
      </c>
      <c r="Q228" s="363" t="s">
        <v>60</v>
      </c>
      <c r="R228" s="65">
        <v>142</v>
      </c>
      <c r="S228" s="363" t="s">
        <v>61</v>
      </c>
      <c r="T228" s="65">
        <v>29</v>
      </c>
      <c r="U228" s="363" t="s">
        <v>54</v>
      </c>
      <c r="V228" s="66" t="s">
        <v>398</v>
      </c>
      <c r="W228" s="463" t="s">
        <v>392</v>
      </c>
      <c r="X228" s="465">
        <v>0.93</v>
      </c>
      <c r="Y228" s="463" t="s">
        <v>391</v>
      </c>
      <c r="Z228" s="358">
        <v>13</v>
      </c>
    </row>
    <row r="229" spans="1:26" x14ac:dyDescent="0.3">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3">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2.9" thickBot="1" x14ac:dyDescent="0.3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2.9" thickBot="1" x14ac:dyDescent="0.35">
      <c r="A232" s="6" t="s">
        <v>384</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2.9" thickBot="1" x14ac:dyDescent="0.35">
      <c r="A233" s="361" t="s">
        <v>385</v>
      </c>
      <c r="B233" s="359">
        <f>ROW(A233)</f>
        <v>233</v>
      </c>
      <c r="C233" s="363" t="s">
        <v>115</v>
      </c>
      <c r="D233" s="353">
        <f>SUM(B236:Y236)</f>
        <v>115.63</v>
      </c>
      <c r="E233" s="363" t="s">
        <v>114</v>
      </c>
      <c r="F233" s="354">
        <f>D233/g/J233</f>
        <v>125.39310733728064</v>
      </c>
      <c r="G233" s="363" t="s">
        <v>56</v>
      </c>
      <c r="H233" s="64">
        <v>0.2</v>
      </c>
      <c r="I233" s="363" t="s">
        <v>269</v>
      </c>
      <c r="J233" s="355">
        <f>H233-L233</f>
        <v>9.4000000000000014E-2</v>
      </c>
      <c r="K233" s="363" t="s">
        <v>270</v>
      </c>
      <c r="L233" s="64">
        <v>0.106</v>
      </c>
      <c r="M233" s="363" t="s">
        <v>57</v>
      </c>
      <c r="N233" s="65">
        <v>93</v>
      </c>
      <c r="O233" s="363" t="s">
        <v>59</v>
      </c>
      <c r="P233" s="65">
        <v>93</v>
      </c>
      <c r="Q233" s="363" t="s">
        <v>60</v>
      </c>
      <c r="R233" s="65">
        <v>187</v>
      </c>
      <c r="S233" s="363" t="s">
        <v>61</v>
      </c>
      <c r="T233" s="65">
        <v>29</v>
      </c>
      <c r="U233" s="363" t="s">
        <v>54</v>
      </c>
      <c r="V233" s="66" t="s">
        <v>119</v>
      </c>
      <c r="W233" s="463" t="s">
        <v>392</v>
      </c>
      <c r="X233" s="465">
        <v>0.96</v>
      </c>
      <c r="Y233" s="463" t="s">
        <v>391</v>
      </c>
      <c r="Z233" s="358">
        <v>14</v>
      </c>
    </row>
    <row r="234" spans="1:26" x14ac:dyDescent="0.3">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3">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2.9" thickBot="1" x14ac:dyDescent="0.3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2.9" thickBot="1" x14ac:dyDescent="0.3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2.9" thickBot="1" x14ac:dyDescent="0.35">
      <c r="A238" s="361" t="s">
        <v>390</v>
      </c>
      <c r="B238" s="359">
        <f>ROW(A238)</f>
        <v>238</v>
      </c>
      <c r="C238" s="363" t="s">
        <v>115</v>
      </c>
      <c r="D238" s="353">
        <f>SUM(B241:Y241)</f>
        <v>158.04815100000002</v>
      </c>
      <c r="E238" s="363" t="s">
        <v>114</v>
      </c>
      <c r="F238" s="354">
        <v>198</v>
      </c>
      <c r="G238" s="363" t="s">
        <v>56</v>
      </c>
      <c r="H238" s="64">
        <v>0.19450000000000001</v>
      </c>
      <c r="I238" s="363" t="s">
        <v>269</v>
      </c>
      <c r="J238" s="355">
        <f>H238-L238</f>
        <v>8.9600000000000013E-2</v>
      </c>
      <c r="K238" s="363" t="s">
        <v>270</v>
      </c>
      <c r="L238" s="64">
        <v>0.10489999999999999</v>
      </c>
      <c r="M238" s="363" t="s">
        <v>57</v>
      </c>
      <c r="N238" s="65">
        <v>93</v>
      </c>
      <c r="O238" s="363" t="s">
        <v>59</v>
      </c>
      <c r="P238" s="65">
        <v>93</v>
      </c>
      <c r="Q238" s="363" t="s">
        <v>60</v>
      </c>
      <c r="R238" s="65">
        <v>187</v>
      </c>
      <c r="S238" s="363" t="s">
        <v>61</v>
      </c>
      <c r="T238" s="65">
        <v>29</v>
      </c>
      <c r="U238" s="363" t="s">
        <v>54</v>
      </c>
      <c r="V238" s="66" t="s">
        <v>119</v>
      </c>
      <c r="W238" s="463" t="s">
        <v>392</v>
      </c>
      <c r="X238" s="465">
        <v>1.27</v>
      </c>
      <c r="Y238" s="463" t="s">
        <v>391</v>
      </c>
      <c r="Z238" s="358">
        <v>14</v>
      </c>
    </row>
    <row r="239" spans="1:26" x14ac:dyDescent="0.3">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3">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2.9" thickBot="1" x14ac:dyDescent="0.3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2.9" thickBot="1" x14ac:dyDescent="0.35">
      <c r="A242" s="6" t="s">
        <v>372</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2.9" thickBot="1" x14ac:dyDescent="0.35">
      <c r="A243" s="361" t="s">
        <v>377</v>
      </c>
      <c r="B243" s="359">
        <f>ROW(A243)</f>
        <v>243</v>
      </c>
      <c r="C243" s="363" t="s">
        <v>115</v>
      </c>
      <c r="D243" s="353">
        <f>SUM(B246:Y246)</f>
        <v>136.75235000000001</v>
      </c>
      <c r="E243" s="363" t="s">
        <v>114</v>
      </c>
      <c r="F243" s="354">
        <f>D243/g/J243</f>
        <v>152.35078513616639</v>
      </c>
      <c r="G243" s="363" t="s">
        <v>56</v>
      </c>
      <c r="H243" s="64">
        <v>0.21249999999999999</v>
      </c>
      <c r="I243" s="363" t="s">
        <v>269</v>
      </c>
      <c r="J243" s="355">
        <f>H243-L243</f>
        <v>9.1499999999999998E-2</v>
      </c>
      <c r="K243" s="363" t="s">
        <v>270</v>
      </c>
      <c r="L243" s="64">
        <v>0.121</v>
      </c>
      <c r="M243" s="363" t="s">
        <v>57</v>
      </c>
      <c r="N243" s="65">
        <v>63</v>
      </c>
      <c r="O243" s="363" t="s">
        <v>59</v>
      </c>
      <c r="P243" s="65">
        <v>114</v>
      </c>
      <c r="Q243" s="363" t="s">
        <v>60</v>
      </c>
      <c r="R243" s="65">
        <v>127</v>
      </c>
      <c r="S243" s="363" t="s">
        <v>61</v>
      </c>
      <c r="T243" s="65">
        <v>38</v>
      </c>
      <c r="U243" s="363" t="s">
        <v>54</v>
      </c>
      <c r="V243" s="66" t="s">
        <v>119</v>
      </c>
      <c r="W243" s="463" t="s">
        <v>392</v>
      </c>
      <c r="X243" s="465">
        <v>2.36</v>
      </c>
      <c r="Y243" s="463" t="s">
        <v>391</v>
      </c>
      <c r="Z243" s="358">
        <v>13</v>
      </c>
    </row>
    <row r="244" spans="1:26" x14ac:dyDescent="0.3">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3">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2.9" thickBot="1" x14ac:dyDescent="0.3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2.9" thickBot="1" x14ac:dyDescent="0.3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2.9" thickBot="1" x14ac:dyDescent="0.35">
      <c r="A248" s="361" t="s">
        <v>378</v>
      </c>
      <c r="B248" s="359">
        <f>ROW(A248)</f>
        <v>248</v>
      </c>
      <c r="C248" s="363" t="s">
        <v>115</v>
      </c>
      <c r="D248" s="353">
        <f>SUM(B251:Y251)</f>
        <v>127.06944999999999</v>
      </c>
      <c r="E248" s="363" t="s">
        <v>114</v>
      </c>
      <c r="F248" s="354">
        <f>D248/g/J248</f>
        <v>180.65624835614466</v>
      </c>
      <c r="G248" s="363" t="s">
        <v>56</v>
      </c>
      <c r="H248" s="64">
        <v>0.18840000000000001</v>
      </c>
      <c r="I248" s="363" t="s">
        <v>269</v>
      </c>
      <c r="J248" s="355">
        <f>H248-L248</f>
        <v>7.1700000000000014E-2</v>
      </c>
      <c r="K248" s="363" t="s">
        <v>270</v>
      </c>
      <c r="L248" s="64">
        <v>0.1167</v>
      </c>
      <c r="M248" s="363" t="s">
        <v>57</v>
      </c>
      <c r="N248" s="65">
        <v>63</v>
      </c>
      <c r="O248" s="363" t="s">
        <v>59</v>
      </c>
      <c r="P248" s="65">
        <v>114</v>
      </c>
      <c r="Q248" s="363" t="s">
        <v>60</v>
      </c>
      <c r="R248" s="65">
        <v>127</v>
      </c>
      <c r="S248" s="363" t="s">
        <v>61</v>
      </c>
      <c r="T248" s="65">
        <v>38</v>
      </c>
      <c r="U248" s="363" t="s">
        <v>54</v>
      </c>
      <c r="V248" s="66" t="s">
        <v>119</v>
      </c>
      <c r="W248" s="463" t="s">
        <v>392</v>
      </c>
      <c r="X248" s="465">
        <v>0.69</v>
      </c>
      <c r="Y248" s="463" t="s">
        <v>391</v>
      </c>
      <c r="Z248" s="358">
        <v>12</v>
      </c>
    </row>
    <row r="249" spans="1:26" x14ac:dyDescent="0.3">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3">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2.9" thickBot="1" x14ac:dyDescent="0.3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2.9" thickBot="1" x14ac:dyDescent="0.3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2.9" thickBot="1" x14ac:dyDescent="0.35">
      <c r="A253" s="361" t="s">
        <v>386</v>
      </c>
      <c r="B253" s="359">
        <f>ROW(A253)</f>
        <v>253</v>
      </c>
      <c r="C253" s="363" t="s">
        <v>115</v>
      </c>
      <c r="D253" s="353">
        <f>SUM(B256:Y256)</f>
        <v>142.7236025</v>
      </c>
      <c r="E253" s="363" t="s">
        <v>114</v>
      </c>
      <c r="F253" s="354">
        <v>208</v>
      </c>
      <c r="G253" s="363" t="s">
        <v>56</v>
      </c>
      <c r="H253" s="64">
        <v>0.19700000000000001</v>
      </c>
      <c r="I253" s="363" t="s">
        <v>269</v>
      </c>
      <c r="J253" s="355">
        <f>H253-L253</f>
        <v>7.0000000000000007E-2</v>
      </c>
      <c r="K253" s="363" t="s">
        <v>270</v>
      </c>
      <c r="L253" s="64">
        <v>0.127</v>
      </c>
      <c r="M253" s="363" t="s">
        <v>57</v>
      </c>
      <c r="N253" s="65">
        <v>63</v>
      </c>
      <c r="O253" s="363" t="s">
        <v>59</v>
      </c>
      <c r="P253" s="65">
        <v>114</v>
      </c>
      <c r="Q253" s="363" t="s">
        <v>60</v>
      </c>
      <c r="R253" s="65">
        <v>127</v>
      </c>
      <c r="S253" s="363" t="s">
        <v>61</v>
      </c>
      <c r="T253" s="65">
        <v>38</v>
      </c>
      <c r="U253" s="363" t="s">
        <v>54</v>
      </c>
      <c r="V253" s="66" t="s">
        <v>119</v>
      </c>
      <c r="W253" s="463" t="s">
        <v>392</v>
      </c>
      <c r="X253" s="465">
        <v>1.8</v>
      </c>
      <c r="Y253" s="463" t="s">
        <v>391</v>
      </c>
      <c r="Z253" s="358">
        <v>15</v>
      </c>
    </row>
    <row r="254" spans="1:26" x14ac:dyDescent="0.3">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3">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2.9" thickBot="1" x14ac:dyDescent="0.3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2.9" thickBot="1" x14ac:dyDescent="0.3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2.9" thickBot="1" x14ac:dyDescent="0.35">
      <c r="A258" s="361" t="s">
        <v>272</v>
      </c>
      <c r="B258" s="360">
        <f>ROW(A258)</f>
        <v>258</v>
      </c>
      <c r="C258" s="363" t="s">
        <v>115</v>
      </c>
      <c r="D258" s="353">
        <f>SUM(B261:Y261)</f>
        <v>33.500000000000007</v>
      </c>
      <c r="E258" s="363" t="s">
        <v>114</v>
      </c>
      <c r="F258" s="354">
        <f>D258/g/J258</f>
        <v>68.297655453618759</v>
      </c>
      <c r="G258" s="363" t="s">
        <v>56</v>
      </c>
      <c r="H258" s="64">
        <v>8.5000000000000006E-2</v>
      </c>
      <c r="I258" s="363" t="s">
        <v>269</v>
      </c>
      <c r="J258" s="355">
        <f>H258-L258</f>
        <v>0.05</v>
      </c>
      <c r="K258" s="363" t="s">
        <v>270</v>
      </c>
      <c r="L258" s="64">
        <v>3.5000000000000003E-2</v>
      </c>
      <c r="M258" s="363" t="s">
        <v>57</v>
      </c>
      <c r="N258" s="65">
        <v>20</v>
      </c>
      <c r="O258" s="363" t="s">
        <v>59</v>
      </c>
      <c r="P258" s="65">
        <v>20</v>
      </c>
      <c r="Q258" s="363" t="s">
        <v>60</v>
      </c>
      <c r="R258" s="65">
        <v>39</v>
      </c>
      <c r="S258" s="363" t="s">
        <v>61</v>
      </c>
      <c r="T258" s="65">
        <v>39</v>
      </c>
      <c r="U258" s="363" t="s">
        <v>54</v>
      </c>
      <c r="V258" s="66" t="s">
        <v>399</v>
      </c>
      <c r="W258" s="12"/>
      <c r="X258" s="12"/>
      <c r="Y258" s="12"/>
    </row>
    <row r="259" spans="1:25" x14ac:dyDescent="0.3">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3">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2.9" thickBot="1" x14ac:dyDescent="0.3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2.9" thickBot="1" x14ac:dyDescent="0.3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2.9" thickBot="1" x14ac:dyDescent="0.35">
      <c r="A263" s="361" t="s">
        <v>273</v>
      </c>
      <c r="B263" s="359">
        <f>ROW(A263)</f>
        <v>263</v>
      </c>
      <c r="C263" s="363" t="s">
        <v>115</v>
      </c>
      <c r="D263" s="353">
        <f>SUM(B266:Y266)</f>
        <v>145.46</v>
      </c>
      <c r="E263" s="363" t="s">
        <v>114</v>
      </c>
      <c r="F263" s="354">
        <f>D263/g/J263</f>
        <v>211.82466870540264</v>
      </c>
      <c r="G263" s="363" t="s">
        <v>56</v>
      </c>
      <c r="H263" s="64">
        <v>0.22</v>
      </c>
      <c r="I263" s="363" t="s">
        <v>269</v>
      </c>
      <c r="J263" s="355">
        <f>H263-L263</f>
        <v>7.0000000000000007E-2</v>
      </c>
      <c r="K263" s="363" t="s">
        <v>270</v>
      </c>
      <c r="L263" s="64">
        <v>0.15</v>
      </c>
      <c r="M263" s="363" t="s">
        <v>57</v>
      </c>
      <c r="N263" s="65">
        <v>50</v>
      </c>
      <c r="O263" s="363" t="s">
        <v>59</v>
      </c>
      <c r="P263" s="65">
        <v>55</v>
      </c>
      <c r="Q263" s="363" t="s">
        <v>60</v>
      </c>
      <c r="R263" s="65">
        <v>76</v>
      </c>
      <c r="S263" s="363" t="s">
        <v>61</v>
      </c>
      <c r="T263" s="65">
        <v>40</v>
      </c>
      <c r="U263" s="363" t="s">
        <v>54</v>
      </c>
      <c r="V263" s="66" t="s">
        <v>399</v>
      </c>
      <c r="W263" s="12"/>
      <c r="X263" s="12"/>
      <c r="Y263" s="12"/>
    </row>
    <row r="264" spans="1:25" x14ac:dyDescent="0.3">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3">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2.9" thickBot="1" x14ac:dyDescent="0.3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3">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2.9" thickBot="1" x14ac:dyDescent="0.35">
      <c r="A268" s="6" t="s">
        <v>311</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2.9" thickBot="1" x14ac:dyDescent="0.35">
      <c r="A269" s="361" t="s">
        <v>35</v>
      </c>
      <c r="B269" s="359">
        <f>ROW(A269)</f>
        <v>269</v>
      </c>
      <c r="C269" s="363" t="s">
        <v>115</v>
      </c>
      <c r="D269" s="353">
        <f>SUM(B272:Y272)</f>
        <v>1071.5999999999999</v>
      </c>
      <c r="E269" s="363" t="s">
        <v>114</v>
      </c>
      <c r="F269" s="354">
        <f>D269/g/J269</f>
        <v>163.03802090465106</v>
      </c>
      <c r="G269" s="363" t="s">
        <v>56</v>
      </c>
      <c r="H269" s="64">
        <v>2.02</v>
      </c>
      <c r="I269" s="363" t="s">
        <v>269</v>
      </c>
      <c r="J269" s="355">
        <f>H269-L269</f>
        <v>0.66999999999999993</v>
      </c>
      <c r="K269" s="363" t="s">
        <v>270</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3">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3">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2.9" thickBot="1" x14ac:dyDescent="0.3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2.9" thickBot="1" x14ac:dyDescent="0.35">
      <c r="S273" s="12"/>
      <c r="T273" s="12"/>
      <c r="U273" s="12"/>
      <c r="V273" s="12"/>
      <c r="W273" s="12"/>
      <c r="X273" s="12"/>
      <c r="Y273" s="12"/>
    </row>
    <row r="274" spans="1:25" ht="12.9" thickBot="1" x14ac:dyDescent="0.35">
      <c r="A274" s="361" t="s">
        <v>36</v>
      </c>
      <c r="B274" s="359">
        <f>ROW(A274)</f>
        <v>274</v>
      </c>
      <c r="C274" s="363" t="s">
        <v>115</v>
      </c>
      <c r="D274" s="353">
        <f>SUM(B277:Y277)</f>
        <v>2102.35</v>
      </c>
      <c r="E274" s="363" t="s">
        <v>114</v>
      </c>
      <c r="F274" s="354">
        <f>D274/g/J274</f>
        <v>174.23319493133766</v>
      </c>
      <c r="G274" s="363" t="s">
        <v>56</v>
      </c>
      <c r="H274" s="64">
        <v>3.7</v>
      </c>
      <c r="I274" s="363" t="s">
        <v>269</v>
      </c>
      <c r="J274" s="355">
        <f>H274-L274</f>
        <v>1.23</v>
      </c>
      <c r="K274" s="363" t="s">
        <v>270</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3">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3">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2.9" thickBot="1" x14ac:dyDescent="0.3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2.9" thickBot="1" x14ac:dyDescent="0.35"/>
    <row r="279" spans="1:25" ht="12.9" thickBot="1" x14ac:dyDescent="0.35">
      <c r="A279" s="361" t="s">
        <v>547</v>
      </c>
      <c r="B279" s="359">
        <f>ROW(A279)</f>
        <v>279</v>
      </c>
      <c r="C279" s="363" t="s">
        <v>115</v>
      </c>
      <c r="D279" s="353">
        <f>SUM(B282:Y282)</f>
        <v>2058.37</v>
      </c>
      <c r="E279" s="363" t="s">
        <v>114</v>
      </c>
      <c r="F279" s="354">
        <f>D279/g/J279</f>
        <v>203.12066731598335</v>
      </c>
      <c r="G279" s="363" t="s">
        <v>56</v>
      </c>
      <c r="H279" s="64">
        <v>1.6850000000000001</v>
      </c>
      <c r="I279" s="363" t="s">
        <v>269</v>
      </c>
      <c r="J279" s="355">
        <f>H279-L279</f>
        <v>1.0329999999999999</v>
      </c>
      <c r="K279" s="363" t="s">
        <v>270</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3">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3">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2.9" thickBot="1" x14ac:dyDescent="0.3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2.9" thickBot="1" x14ac:dyDescent="0.3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2.9" thickBot="1" x14ac:dyDescent="0.35">
      <c r="A284" s="361" t="s">
        <v>550</v>
      </c>
      <c r="B284" s="359">
        <f>ROW(A284)</f>
        <v>284</v>
      </c>
      <c r="C284" s="363" t="s">
        <v>115</v>
      </c>
      <c r="D284" s="353">
        <f>SUM(B287:Y287)</f>
        <v>1998.2428999999995</v>
      </c>
      <c r="E284" s="363" t="s">
        <v>114</v>
      </c>
      <c r="F284" s="354">
        <f>D284/g/J284</f>
        <v>207.42819268753979</v>
      </c>
      <c r="G284" s="363" t="s">
        <v>56</v>
      </c>
      <c r="H284" s="64">
        <v>1.6319999999999999</v>
      </c>
      <c r="I284" s="363" t="s">
        <v>269</v>
      </c>
      <c r="J284" s="355">
        <f>H284-L284</f>
        <v>0.98199999999999987</v>
      </c>
      <c r="K284" s="363" t="s">
        <v>270</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3">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3">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2.9" thickBot="1" x14ac:dyDescent="0.3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2.9" thickBot="1" x14ac:dyDescent="0.35">
      <c r="A288" s="12"/>
      <c r="L288" s="12"/>
      <c r="M288" s="12"/>
      <c r="N288" s="12"/>
      <c r="O288" s="12"/>
      <c r="P288" s="12"/>
      <c r="Q288" s="12"/>
      <c r="R288" s="12"/>
      <c r="S288" s="12"/>
      <c r="T288" s="12"/>
      <c r="U288" s="12"/>
      <c r="V288" s="12"/>
      <c r="W288" s="12"/>
      <c r="X288" s="12"/>
      <c r="Y288" s="12"/>
    </row>
    <row r="289" spans="1:25" ht="12.9" thickBot="1" x14ac:dyDescent="0.35">
      <c r="A289" s="361" t="s">
        <v>548</v>
      </c>
      <c r="B289" s="359">
        <f>ROW(A289)</f>
        <v>289</v>
      </c>
      <c r="C289" s="363" t="s">
        <v>115</v>
      </c>
      <c r="D289" s="353">
        <f>SUM(B292:Y292)</f>
        <v>3739.0284999999994</v>
      </c>
      <c r="E289" s="363" t="s">
        <v>114</v>
      </c>
      <c r="F289" s="354">
        <f>D289/g/J289</f>
        <v>203.4941790441234</v>
      </c>
      <c r="G289" s="363" t="s">
        <v>56</v>
      </c>
      <c r="H289" s="64">
        <v>3.5110000000000001</v>
      </c>
      <c r="I289" s="363" t="s">
        <v>269</v>
      </c>
      <c r="J289" s="355">
        <f>H289-L289</f>
        <v>1.8730000000000002</v>
      </c>
      <c r="K289" s="363" t="s">
        <v>270</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3">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3">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2.9" thickBot="1" x14ac:dyDescent="0.3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2.9" thickBot="1" x14ac:dyDescent="0.3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2.9" thickBot="1" x14ac:dyDescent="0.35">
      <c r="A294" s="361" t="s">
        <v>554</v>
      </c>
      <c r="B294" s="359">
        <f>ROW(A294)</f>
        <v>294</v>
      </c>
      <c r="C294" s="363" t="s">
        <v>115</v>
      </c>
      <c r="D294" s="353">
        <f>SUM(B297:Y297)</f>
        <v>14273.976008499998</v>
      </c>
      <c r="E294" s="363" t="s">
        <v>114</v>
      </c>
      <c r="F294" s="354">
        <f>D294/g/J294</f>
        <v>169.50645688990159</v>
      </c>
      <c r="G294" s="363" t="s">
        <v>56</v>
      </c>
      <c r="H294" s="64">
        <v>13.247999999999999</v>
      </c>
      <c r="I294" s="363" t="s">
        <v>269</v>
      </c>
      <c r="J294" s="355">
        <f>H294-L294</f>
        <v>8.5839999999999996</v>
      </c>
      <c r="K294" s="363" t="s">
        <v>270</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3">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3">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2.9" thickBot="1" x14ac:dyDescent="0.3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2.9" thickBot="1" x14ac:dyDescent="0.35">
      <c r="A298" s="12"/>
      <c r="L298" s="12"/>
      <c r="M298" s="12"/>
      <c r="N298" s="12"/>
      <c r="O298" s="12"/>
      <c r="P298" s="12"/>
      <c r="Q298" s="12"/>
      <c r="R298" s="12"/>
      <c r="S298" s="12"/>
      <c r="T298" s="12"/>
      <c r="U298" s="12"/>
      <c r="V298" s="12"/>
      <c r="W298" s="12"/>
      <c r="X298" s="12"/>
      <c r="Y298" s="12"/>
    </row>
    <row r="299" spans="1:25" ht="12.9" thickBot="1" x14ac:dyDescent="0.35">
      <c r="A299" s="361" t="s">
        <v>316</v>
      </c>
      <c r="B299" s="359">
        <f>ROW(A299)</f>
        <v>299</v>
      </c>
      <c r="C299" s="363" t="s">
        <v>115</v>
      </c>
      <c r="D299" s="353">
        <f>SUM(B302:Y302)</f>
        <v>7412.4371409999985</v>
      </c>
      <c r="E299" s="363" t="s">
        <v>114</v>
      </c>
      <c r="F299" s="354">
        <f>D299/g/J299</f>
        <v>223.28608637999045</v>
      </c>
      <c r="G299" s="363" t="s">
        <v>56</v>
      </c>
      <c r="H299" s="64">
        <v>6.25</v>
      </c>
      <c r="I299" s="363" t="s">
        <v>269</v>
      </c>
      <c r="J299" s="355">
        <f>H299-L299</f>
        <v>3.3839999999999999</v>
      </c>
      <c r="K299" s="363" t="s">
        <v>270</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3">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3">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2.9" thickBot="1" x14ac:dyDescent="0.3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2.9" thickBot="1" x14ac:dyDescent="0.3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2.9" thickBot="1" x14ac:dyDescent="0.35">
      <c r="A304" s="361" t="s">
        <v>549</v>
      </c>
      <c r="B304" s="359">
        <f>ROW(A304)</f>
        <v>304</v>
      </c>
      <c r="C304" s="363" t="s">
        <v>115</v>
      </c>
      <c r="D304" s="353">
        <f>SUM(B307:Y307)</f>
        <v>17734.977350500001</v>
      </c>
      <c r="E304" s="363" t="s">
        <v>114</v>
      </c>
      <c r="F304" s="354">
        <f>D304/g/J304</f>
        <v>192.73420306179892</v>
      </c>
      <c r="G304" s="363" t="s">
        <v>56</v>
      </c>
      <c r="H304" s="64">
        <v>14.747999999999999</v>
      </c>
      <c r="I304" s="363" t="s">
        <v>269</v>
      </c>
      <c r="J304" s="355">
        <f>H304-L304</f>
        <v>9.379999999999999</v>
      </c>
      <c r="K304" s="363" t="s">
        <v>270</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3">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3">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2.9" thickBot="1" x14ac:dyDescent="0.3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2.9" thickBot="1" x14ac:dyDescent="0.3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2.9" thickBot="1" x14ac:dyDescent="0.35">
      <c r="A309" s="361" t="s">
        <v>44</v>
      </c>
      <c r="B309" s="359">
        <f>ROW(A309)</f>
        <v>309</v>
      </c>
      <c r="C309" s="363" t="s">
        <v>115</v>
      </c>
      <c r="D309" s="353">
        <f>SUM(B312:Y312)</f>
        <v>1E-3</v>
      </c>
      <c r="E309" s="363" t="s">
        <v>114</v>
      </c>
      <c r="F309" s="354">
        <f>D309/g/J309</f>
        <v>1.019367991845056</v>
      </c>
      <c r="G309" s="363" t="s">
        <v>56</v>
      </c>
      <c r="H309" s="64">
        <v>1E-4</v>
      </c>
      <c r="I309" s="363" t="s">
        <v>269</v>
      </c>
      <c r="J309" s="355">
        <f>H309-L309</f>
        <v>1E-4</v>
      </c>
      <c r="K309" s="363" t="s">
        <v>270</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3">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3">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2.9" thickBot="1" x14ac:dyDescent="0.3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3">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3">
      <c r="A316" s="397" t="str">
        <f>IF(Lang="Français","Liste des propu affichés :","Motor list (shown):")</f>
        <v>Liste des propu affichés :</v>
      </c>
      <c r="C316" s="640" t="s">
        <v>274</v>
      </c>
      <c r="D316" s="641"/>
      <c r="F316" s="640" t="s">
        <v>181</v>
      </c>
      <c r="G316" s="641"/>
      <c r="H316" s="12"/>
      <c r="I316" s="640" t="s">
        <v>395</v>
      </c>
      <c r="J316" s="641"/>
      <c r="K316" s="12"/>
      <c r="L316" s="640" t="s">
        <v>182</v>
      </c>
      <c r="M316" s="641"/>
      <c r="O316" s="640" t="s">
        <v>394</v>
      </c>
      <c r="P316" s="641"/>
      <c r="R316" s="640" t="s">
        <v>118</v>
      </c>
      <c r="S316" s="641"/>
    </row>
    <row r="317" spans="1:25" x14ac:dyDescent="0.3">
      <c r="A317" s="398" t="str">
        <f t="array" ref="A317:A346">IF(RIGHT(Type_fusee,1)=".",Liste_fusex, IF(LEFT(Type_fusee,4)="Mini",Liste_minif, IF(LEFT(Type_fusee,5)="Micro",Liste_µfu, IF(RIGHT(Type_fusee,1)=" ",Liste_H2O, IF(LEFT(Type_fusee,1)="R",Liste_RC, IF(LEFT(Type_fusee,1)=",",Liste_minifT))))))</f>
        <v>Pro54-5G WT</v>
      </c>
      <c r="C317" s="642" t="str">
        <f>A26</f>
        <v>H2O 1.5L 300g 6bar</v>
      </c>
      <c r="D317" s="643"/>
      <c r="F317" s="642" t="str">
        <f>A67</f>
        <v>µ-propu A8-3</v>
      </c>
      <c r="G317" s="643"/>
      <c r="H317" s="472"/>
      <c r="I317" s="644" t="str">
        <f>A148</f>
        <v>p29-1G 56F31</v>
      </c>
      <c r="J317" s="645"/>
      <c r="K317" s="472"/>
      <c r="L317" s="644" t="str">
        <f>A158</f>
        <v>p29-1G 57F59</v>
      </c>
      <c r="M317" s="645"/>
      <c r="O317" s="642" t="str">
        <f>A108</f>
        <v>p24-1G 24E22</v>
      </c>
      <c r="P317" s="643"/>
      <c r="R317" s="642" t="str">
        <f>A284</f>
        <v>Pro54-5G WT</v>
      </c>
      <c r="S317" s="643"/>
    </row>
    <row r="318" spans="1:25" x14ac:dyDescent="0.3">
      <c r="A318" s="398" t="str">
        <v>Barasinga (Pro54-5G C)</v>
      </c>
      <c r="C318" s="642" t="str">
        <f>A31</f>
        <v>H2O 1.5L 450g 6bar</v>
      </c>
      <c r="D318" s="643"/>
      <c r="F318" s="642" t="str">
        <f>A72</f>
        <v>µ-propu B4-4</v>
      </c>
      <c r="G318" s="643"/>
      <c r="H318" s="472"/>
      <c r="I318" s="644" t="str">
        <f>A153</f>
        <v>p29-1G 56F120</v>
      </c>
      <c r="J318" s="645"/>
      <c r="K318" s="472"/>
      <c r="L318" s="644" t="str">
        <f>A183</f>
        <v>p24-3G 74F85</v>
      </c>
      <c r="M318" s="645"/>
      <c r="O318" s="642" t="str">
        <f>A113</f>
        <v>p24-1G 25E75 (Rufina)</v>
      </c>
      <c r="P318" s="643"/>
      <c r="R318" s="642" t="str">
        <f>A279</f>
        <v>Barasinga (Pro54-5G C)</v>
      </c>
      <c r="S318" s="643"/>
    </row>
    <row r="319" spans="1:25" x14ac:dyDescent="0.3">
      <c r="A319" s="398" t="str">
        <v>Orignal (Pro75-3G C)</v>
      </c>
      <c r="C319" s="642" t="str">
        <f>A36</f>
        <v>H2O 1.5L 600g 6bar</v>
      </c>
      <c r="D319" s="643"/>
      <c r="F319" s="642" t="str">
        <f>A77</f>
        <v>µ-propu C6-3</v>
      </c>
      <c r="G319" s="643"/>
      <c r="H319" s="472"/>
      <c r="I319" s="644" t="str">
        <f>A158</f>
        <v>p29-1G 57F59</v>
      </c>
      <c r="J319" s="645"/>
      <c r="K319" s="472"/>
      <c r="L319" s="644" t="str">
        <f>A188</f>
        <v>p24-3G 75F51</v>
      </c>
      <c r="M319" s="645"/>
      <c r="O319" s="642" t="str">
        <f>A118</f>
        <v>p24-1G 26E31</v>
      </c>
      <c r="P319" s="643"/>
      <c r="R319" s="642" t="str">
        <f>A289</f>
        <v>Orignal (Pro75-3G C)</v>
      </c>
      <c r="S319" s="643"/>
    </row>
    <row r="320" spans="1:25" x14ac:dyDescent="0.3">
      <c r="A320" s="398" t="str">
        <v>Pro98-6G Green</v>
      </c>
      <c r="C320" s="642" t="str">
        <f>A41</f>
        <v>H2O 1.5L 750g 6bar</v>
      </c>
      <c r="D320" s="643"/>
      <c r="F320" s="642" t="str">
        <f>A82</f>
        <v>µ-propu C6-3 x2</v>
      </c>
      <c r="G320" s="643"/>
      <c r="H320" s="472"/>
      <c r="I320" s="644" t="str">
        <f>A183</f>
        <v>p24-3G 74F85</v>
      </c>
      <c r="J320" s="645"/>
      <c r="K320" s="472"/>
      <c r="L320" s="644" t="str">
        <f>A228</f>
        <v>p29-2G 116G126</v>
      </c>
      <c r="M320" s="645"/>
      <c r="O320" s="642" t="str">
        <f>A123</f>
        <v>p24-2G 50E51</v>
      </c>
      <c r="P320" s="643"/>
      <c r="R320" s="642" t="str">
        <f>A294</f>
        <v>Pro98-6G Green</v>
      </c>
      <c r="S320" s="643"/>
    </row>
    <row r="321" spans="1:19" x14ac:dyDescent="0.3">
      <c r="A321" s="398" t="str">
        <v xml:space="preserve"> </v>
      </c>
      <c r="C321" s="642" t="str">
        <f>A46</f>
        <v>H2O 2.0L 400g 6bar</v>
      </c>
      <c r="D321" s="643"/>
      <c r="F321" s="642" t="str">
        <f>A87</f>
        <v>µ-propu C6-3 x3</v>
      </c>
      <c r="G321" s="643"/>
      <c r="H321" s="472"/>
      <c r="I321" s="644" t="str">
        <f>A188</f>
        <v>p24-3G 75F51</v>
      </c>
      <c r="J321" s="645"/>
      <c r="K321" s="472"/>
      <c r="L321" s="644" t="str">
        <f>A198</f>
        <v>Pandora (Pro24-6G BS)</v>
      </c>
      <c r="M321" s="645"/>
      <c r="O321" s="642" t="str">
        <f>A128</f>
        <v>p24-1G 53E70</v>
      </c>
      <c r="P321" s="643"/>
      <c r="R321" s="642" t="s">
        <v>183</v>
      </c>
      <c r="S321" s="643"/>
    </row>
    <row r="322" spans="1:19" x14ac:dyDescent="0.3">
      <c r="A322" s="398" t="str">
        <v xml:space="preserve"> </v>
      </c>
      <c r="C322" s="642" t="str">
        <f>A51</f>
        <v>H2O 2.0L 600g 6bar</v>
      </c>
      <c r="D322" s="643"/>
      <c r="F322" s="642" t="s">
        <v>183</v>
      </c>
      <c r="G322" s="643"/>
      <c r="H322" s="472"/>
      <c r="I322" s="644" t="s">
        <v>183</v>
      </c>
      <c r="J322" s="645"/>
      <c r="K322" s="472"/>
      <c r="L322" s="642" t="str">
        <f>A92</f>
        <v>Klima D9-7</v>
      </c>
      <c r="M322" s="643"/>
      <c r="O322" s="642" t="str">
        <f>A133</f>
        <v>p29-1G 41F36</v>
      </c>
      <c r="P322" s="643"/>
      <c r="R322" s="642" t="s">
        <v>183</v>
      </c>
      <c r="S322" s="643"/>
    </row>
    <row r="323" spans="1:19" x14ac:dyDescent="0.3">
      <c r="A323" s="398" t="str">
        <v xml:space="preserve"> </v>
      </c>
      <c r="C323" s="642" t="str">
        <f>A56</f>
        <v>H2O 2.0L 800g 6bar</v>
      </c>
      <c r="D323" s="643"/>
      <c r="F323" s="642" t="s">
        <v>183</v>
      </c>
      <c r="G323" s="643"/>
      <c r="H323" s="472"/>
      <c r="I323" s="644" t="s">
        <v>183</v>
      </c>
      <c r="J323" s="645"/>
      <c r="K323" s="472"/>
      <c r="L323" s="642" t="str">
        <f>A97</f>
        <v>Klima D9-7 x2</v>
      </c>
      <c r="M323" s="643"/>
      <c r="O323" s="642" t="str">
        <f>A138</f>
        <v>p29-1G 51F36</v>
      </c>
      <c r="P323" s="643"/>
      <c r="R323" s="642" t="s">
        <v>183</v>
      </c>
      <c r="S323" s="643"/>
    </row>
    <row r="324" spans="1:19" x14ac:dyDescent="0.3">
      <c r="A324" s="398" t="str">
        <v xml:space="preserve"> </v>
      </c>
      <c r="C324" s="642" t="str">
        <f>A61</f>
        <v>H2O 2.0L 1000g 6bar</v>
      </c>
      <c r="D324" s="643"/>
      <c r="F324" s="642" t="s">
        <v>183</v>
      </c>
      <c r="G324" s="643"/>
      <c r="H324" s="472"/>
      <c r="I324" s="644" t="s">
        <v>183</v>
      </c>
      <c r="J324" s="645"/>
      <c r="K324" s="472"/>
      <c r="L324" s="642" t="str">
        <f>A102</f>
        <v>Klima D9-7 x3</v>
      </c>
      <c r="M324" s="643"/>
      <c r="O324" s="642" t="str">
        <f>A143</f>
        <v>p29-1G 55F29</v>
      </c>
      <c r="P324" s="643"/>
      <c r="R324" s="642" t="s">
        <v>183</v>
      </c>
      <c r="S324" s="643"/>
    </row>
    <row r="325" spans="1:19" x14ac:dyDescent="0.3">
      <c r="A325" s="398" t="str">
        <v xml:space="preserve"> </v>
      </c>
      <c r="C325" s="642" t="s">
        <v>183</v>
      </c>
      <c r="D325" s="643"/>
      <c r="F325" s="642" t="s">
        <v>183</v>
      </c>
      <c r="G325" s="643"/>
      <c r="H325" s="472"/>
      <c r="I325" s="644" t="s">
        <v>183</v>
      </c>
      <c r="J325" s="645"/>
      <c r="K325" s="472"/>
      <c r="L325" s="642" t="s">
        <v>183</v>
      </c>
      <c r="M325" s="643"/>
      <c r="O325" s="642" t="str">
        <f>A153</f>
        <v>p29-1G 56F120</v>
      </c>
      <c r="P325" s="643"/>
      <c r="R325" s="642" t="s">
        <v>183</v>
      </c>
      <c r="S325" s="643"/>
    </row>
    <row r="326" spans="1:19" x14ac:dyDescent="0.3">
      <c r="A326" s="398" t="str">
        <v xml:space="preserve"> </v>
      </c>
      <c r="C326" s="642" t="s">
        <v>183</v>
      </c>
      <c r="D326" s="643"/>
      <c r="F326" s="642" t="s">
        <v>183</v>
      </c>
      <c r="G326" s="643"/>
      <c r="H326" s="472"/>
      <c r="I326" s="644" t="s">
        <v>183</v>
      </c>
      <c r="J326" s="645"/>
      <c r="K326" s="472"/>
      <c r="L326" s="642" t="s">
        <v>183</v>
      </c>
      <c r="M326" s="643"/>
      <c r="O326" s="642" t="str">
        <f>A158</f>
        <v>p29-1G 57F59</v>
      </c>
      <c r="P326" s="643"/>
      <c r="R326" s="642" t="s">
        <v>183</v>
      </c>
      <c r="S326" s="643"/>
    </row>
    <row r="327" spans="1:19" x14ac:dyDescent="0.3">
      <c r="A327" s="398" t="str">
        <v xml:space="preserve"> </v>
      </c>
      <c r="C327" s="642" t="s">
        <v>183</v>
      </c>
      <c r="D327" s="643"/>
      <c r="F327" s="642" t="s">
        <v>183</v>
      </c>
      <c r="G327" s="643"/>
      <c r="H327" s="472"/>
      <c r="I327" s="644" t="s">
        <v>183</v>
      </c>
      <c r="J327" s="645"/>
      <c r="K327" s="472"/>
      <c r="L327" s="642" t="s">
        <v>183</v>
      </c>
      <c r="M327" s="643"/>
      <c r="O327" s="642" t="str">
        <f>A163</f>
        <v>p24-3G 60F50</v>
      </c>
      <c r="P327" s="643"/>
      <c r="R327" s="642" t="s">
        <v>183</v>
      </c>
      <c r="S327" s="643"/>
    </row>
    <row r="328" spans="1:19" x14ac:dyDescent="0.3">
      <c r="A328" s="398" t="str">
        <v xml:space="preserve"> </v>
      </c>
      <c r="C328" s="642" t="s">
        <v>183</v>
      </c>
      <c r="D328" s="643"/>
      <c r="F328" s="642" t="s">
        <v>183</v>
      </c>
      <c r="G328" s="643"/>
      <c r="H328" s="472"/>
      <c r="I328" s="644" t="s">
        <v>183</v>
      </c>
      <c r="J328" s="645"/>
      <c r="K328" s="472"/>
      <c r="L328" s="642" t="s">
        <v>183</v>
      </c>
      <c r="M328" s="643"/>
      <c r="O328" s="642" t="str">
        <f>A168</f>
        <v>p24-3G 68F79</v>
      </c>
      <c r="P328" s="643"/>
      <c r="R328" s="642" t="s">
        <v>183</v>
      </c>
      <c r="S328" s="643"/>
    </row>
    <row r="329" spans="1:19" x14ac:dyDescent="0.3">
      <c r="A329" s="398" t="str">
        <v xml:space="preserve"> </v>
      </c>
      <c r="C329" s="642" t="s">
        <v>183</v>
      </c>
      <c r="D329" s="643"/>
      <c r="F329" s="642" t="s">
        <v>183</v>
      </c>
      <c r="G329" s="643"/>
      <c r="H329" s="472"/>
      <c r="I329" s="644" t="s">
        <v>183</v>
      </c>
      <c r="J329" s="645"/>
      <c r="K329" s="472"/>
      <c r="L329" s="642" t="s">
        <v>183</v>
      </c>
      <c r="M329" s="643"/>
      <c r="O329" s="642" t="str">
        <f>A173</f>
        <v>p24-3G 68F240</v>
      </c>
      <c r="P329" s="643"/>
      <c r="R329" s="642" t="s">
        <v>183</v>
      </c>
      <c r="S329" s="643"/>
    </row>
    <row r="330" spans="1:19" x14ac:dyDescent="0.3">
      <c r="A330" s="398" t="str">
        <v xml:space="preserve"> </v>
      </c>
      <c r="C330" s="642" t="s">
        <v>183</v>
      </c>
      <c r="D330" s="643"/>
      <c r="F330" s="642" t="s">
        <v>183</v>
      </c>
      <c r="G330" s="643"/>
      <c r="H330" s="472"/>
      <c r="I330" s="644" t="s">
        <v>183</v>
      </c>
      <c r="J330" s="645"/>
      <c r="K330" s="472"/>
      <c r="L330" s="642" t="s">
        <v>183</v>
      </c>
      <c r="M330" s="643"/>
      <c r="O330" s="642" t="str">
        <f>A178</f>
        <v>p24-3G 73F30</v>
      </c>
      <c r="P330" s="643"/>
      <c r="R330" s="642" t="s">
        <v>183</v>
      </c>
      <c r="S330" s="643"/>
    </row>
    <row r="331" spans="1:19" x14ac:dyDescent="0.3">
      <c r="A331" s="398" t="str">
        <v xml:space="preserve"> </v>
      </c>
      <c r="C331" s="642" t="s">
        <v>183</v>
      </c>
      <c r="D331" s="643"/>
      <c r="F331" s="642" t="s">
        <v>183</v>
      </c>
      <c r="G331" s="643"/>
      <c r="H331" s="472"/>
      <c r="I331" s="648" t="s">
        <v>183</v>
      </c>
      <c r="J331" s="649"/>
      <c r="K331" s="472"/>
      <c r="L331" s="642" t="s">
        <v>183</v>
      </c>
      <c r="M331" s="643"/>
      <c r="O331" s="642" t="str">
        <f>A183</f>
        <v>p24-3G 74F85</v>
      </c>
      <c r="P331" s="643"/>
      <c r="R331" s="642" t="s">
        <v>183</v>
      </c>
      <c r="S331" s="643"/>
    </row>
    <row r="332" spans="1:19" x14ac:dyDescent="0.3">
      <c r="A332" s="462" t="str">
        <v xml:space="preserve"> </v>
      </c>
      <c r="C332" s="646" t="s">
        <v>183</v>
      </c>
      <c r="D332" s="647"/>
      <c r="F332" s="646" t="s">
        <v>183</v>
      </c>
      <c r="G332" s="647"/>
      <c r="H332" s="472"/>
      <c r="I332" s="646" t="s">
        <v>183</v>
      </c>
      <c r="J332" s="647"/>
      <c r="K332" s="472"/>
      <c r="L332" s="646" t="s">
        <v>183</v>
      </c>
      <c r="M332" s="647"/>
      <c r="O332" s="642" t="str">
        <f>A188</f>
        <v>p24-3G 75F51</v>
      </c>
      <c r="P332" s="643"/>
      <c r="R332" s="646" t="s">
        <v>183</v>
      </c>
      <c r="S332" s="647"/>
    </row>
    <row r="333" spans="1:19" x14ac:dyDescent="0.3">
      <c r="A333" s="398" t="str">
        <v xml:space="preserve"> </v>
      </c>
      <c r="C333" s="637" t="s">
        <v>183</v>
      </c>
      <c r="D333" s="637"/>
      <c r="F333" s="637" t="s">
        <v>183</v>
      </c>
      <c r="G333" s="637"/>
      <c r="I333" s="639" t="s">
        <v>183</v>
      </c>
      <c r="J333" s="639"/>
      <c r="L333" s="639" t="s">
        <v>183</v>
      </c>
      <c r="M333" s="639"/>
      <c r="O333" s="642" t="str">
        <f>A213</f>
        <v>p29-2G 84G88</v>
      </c>
      <c r="P333" s="643"/>
      <c r="R333" s="651" t="s">
        <v>183</v>
      </c>
      <c r="S333" s="651"/>
    </row>
    <row r="334" spans="1:19" x14ac:dyDescent="0.3">
      <c r="A334" s="398" t="str">
        <v>Isard</v>
      </c>
      <c r="C334" s="638" t="s">
        <v>183</v>
      </c>
      <c r="D334" s="638"/>
      <c r="F334" s="638" t="s">
        <v>183</v>
      </c>
      <c r="G334" s="638"/>
      <c r="I334" s="639" t="s">
        <v>183</v>
      </c>
      <c r="J334" s="639"/>
      <c r="L334" s="639" t="s">
        <v>183</v>
      </c>
      <c r="M334" s="639"/>
      <c r="O334" s="642" t="str">
        <f>A218</f>
        <v>p29-2G 93G80</v>
      </c>
      <c r="P334" s="643"/>
      <c r="R334" s="650" t="str">
        <f>A269</f>
        <v>Isard</v>
      </c>
      <c r="S334" s="650"/>
    </row>
    <row r="335" spans="1:19" x14ac:dyDescent="0.3">
      <c r="A335" s="398" t="str">
        <v>Chamois</v>
      </c>
      <c r="C335" s="638" t="s">
        <v>183</v>
      </c>
      <c r="D335" s="638"/>
      <c r="F335" s="638" t="s">
        <v>183</v>
      </c>
      <c r="G335" s="638"/>
      <c r="I335" s="639" t="s">
        <v>183</v>
      </c>
      <c r="J335" s="639"/>
      <c r="L335" s="639" t="s">
        <v>183</v>
      </c>
      <c r="M335" s="639"/>
      <c r="O335" s="642" t="str">
        <f>A223</f>
        <v>p29-2G 110G250</v>
      </c>
      <c r="P335" s="643"/>
      <c r="R335" s="650" t="str">
        <f>A274</f>
        <v>Chamois</v>
      </c>
      <c r="S335" s="650"/>
    </row>
    <row r="336" spans="1:19" x14ac:dyDescent="0.3">
      <c r="A336" s="398" t="str">
        <v>Pro54-5G WT</v>
      </c>
      <c r="C336" s="638" t="s">
        <v>183</v>
      </c>
      <c r="D336" s="638"/>
      <c r="F336" s="638" t="s">
        <v>183</v>
      </c>
      <c r="G336" s="638"/>
      <c r="I336" s="639" t="s">
        <v>183</v>
      </c>
      <c r="J336" s="639"/>
      <c r="L336" s="639" t="s">
        <v>183</v>
      </c>
      <c r="M336" s="639"/>
      <c r="O336" s="642" t="str">
        <f>A228</f>
        <v>p29-2G 116G126</v>
      </c>
      <c r="P336" s="643"/>
      <c r="R336" s="650" t="str">
        <f>A284</f>
        <v>Pro54-5G WT</v>
      </c>
      <c r="S336" s="650"/>
    </row>
    <row r="337" spans="1:19" x14ac:dyDescent="0.3">
      <c r="A337" s="398" t="str">
        <v>Pro98-6G Green</v>
      </c>
      <c r="C337" s="638" t="s">
        <v>183</v>
      </c>
      <c r="D337" s="638"/>
      <c r="F337" s="638" t="s">
        <v>183</v>
      </c>
      <c r="G337" s="638"/>
      <c r="I337" s="639" t="s">
        <v>183</v>
      </c>
      <c r="J337" s="639"/>
      <c r="L337" s="639" t="s">
        <v>183</v>
      </c>
      <c r="M337" s="639"/>
      <c r="O337" s="642" t="str">
        <f>A233</f>
        <v>p29-3G 125G131</v>
      </c>
      <c r="P337" s="643"/>
      <c r="R337" s="650" t="str">
        <f>A294</f>
        <v>Pro98-6G Green</v>
      </c>
      <c r="S337" s="650"/>
    </row>
    <row r="338" spans="1:19" x14ac:dyDescent="0.3">
      <c r="A338" s="398" t="str">
        <v>Pro98-3G WT</v>
      </c>
      <c r="C338" s="638" t="s">
        <v>183</v>
      </c>
      <c r="D338" s="638"/>
      <c r="F338" s="638" t="s">
        <v>183</v>
      </c>
      <c r="G338" s="638"/>
      <c r="I338" s="639" t="s">
        <v>183</v>
      </c>
      <c r="J338" s="639"/>
      <c r="L338" s="639" t="s">
        <v>183</v>
      </c>
      <c r="M338" s="639"/>
      <c r="O338" s="642" t="str">
        <f>A248</f>
        <v>p38-1G 128G185</v>
      </c>
      <c r="P338" s="643"/>
      <c r="R338" s="650" t="str">
        <f>A299</f>
        <v>Pro98-3G WT</v>
      </c>
      <c r="S338" s="650"/>
    </row>
    <row r="339" spans="1:19" x14ac:dyDescent="0.3">
      <c r="A339" s="398" t="str">
        <v>Aucun (2e ét. inerte)</v>
      </c>
      <c r="C339" s="638" t="s">
        <v>183</v>
      </c>
      <c r="D339" s="638"/>
      <c r="F339" s="638" t="s">
        <v>183</v>
      </c>
      <c r="G339" s="638"/>
      <c r="I339" s="639" t="s">
        <v>183</v>
      </c>
      <c r="J339" s="639"/>
      <c r="L339" s="639" t="s">
        <v>183</v>
      </c>
      <c r="M339" s="639"/>
      <c r="O339" s="642" t="str">
        <f>A243</f>
        <v>p38-1G 137G58</v>
      </c>
      <c r="P339" s="643"/>
      <c r="R339" s="650" t="str">
        <f>A309</f>
        <v>Aucun (2e ét. inerte)</v>
      </c>
      <c r="S339" s="650"/>
    </row>
    <row r="340" spans="1:19" x14ac:dyDescent="0.3">
      <c r="A340" s="398" t="str">
        <v xml:space="preserve"> </v>
      </c>
      <c r="C340" s="638" t="s">
        <v>183</v>
      </c>
      <c r="D340" s="638"/>
      <c r="F340" s="638" t="s">
        <v>183</v>
      </c>
      <c r="G340" s="638"/>
      <c r="I340" s="639" t="s">
        <v>183</v>
      </c>
      <c r="J340" s="639"/>
      <c r="L340" s="639" t="s">
        <v>183</v>
      </c>
      <c r="M340" s="639"/>
      <c r="O340" s="642" t="str">
        <f>A253</f>
        <v>p38-1G 141G78</v>
      </c>
      <c r="P340" s="643"/>
      <c r="R340" s="639" t="s">
        <v>183</v>
      </c>
      <c r="S340" s="639"/>
    </row>
    <row r="341" spans="1:19" x14ac:dyDescent="0.3">
      <c r="A341" s="398" t="str">
        <v xml:space="preserve"> </v>
      </c>
      <c r="C341" s="638" t="s">
        <v>183</v>
      </c>
      <c r="D341" s="638"/>
      <c r="F341" s="638" t="s">
        <v>183</v>
      </c>
      <c r="G341" s="638"/>
      <c r="I341" s="638" t="s">
        <v>183</v>
      </c>
      <c r="J341" s="638"/>
      <c r="L341" s="639" t="s">
        <v>183</v>
      </c>
      <c r="M341" s="639"/>
      <c r="O341" s="642" t="str">
        <f>A193</f>
        <v>p24-6G 140G145 PK</v>
      </c>
      <c r="P341" s="643"/>
      <c r="R341" s="638" t="s">
        <v>183</v>
      </c>
      <c r="S341" s="638"/>
    </row>
    <row r="342" spans="1:19" x14ac:dyDescent="0.3">
      <c r="A342" s="398" t="str">
        <v xml:space="preserve"> </v>
      </c>
      <c r="C342" s="638" t="s">
        <v>183</v>
      </c>
      <c r="D342" s="638"/>
      <c r="F342" s="638" t="s">
        <v>183</v>
      </c>
      <c r="G342" s="638"/>
      <c r="I342" s="638" t="s">
        <v>183</v>
      </c>
      <c r="J342" s="638"/>
      <c r="L342" s="639" t="s">
        <v>183</v>
      </c>
      <c r="M342" s="639"/>
      <c r="O342" s="642" t="str">
        <f>A198</f>
        <v>Pandora (Pro24-6G BS)</v>
      </c>
      <c r="P342" s="643"/>
      <c r="R342" s="638" t="s">
        <v>183</v>
      </c>
      <c r="S342" s="638"/>
    </row>
    <row r="343" spans="1:19" x14ac:dyDescent="0.3">
      <c r="A343" s="398" t="str">
        <v xml:space="preserve"> </v>
      </c>
      <c r="C343" s="638" t="s">
        <v>183</v>
      </c>
      <c r="D343" s="638"/>
      <c r="F343" s="638" t="s">
        <v>183</v>
      </c>
      <c r="G343" s="638"/>
      <c r="I343" s="638" t="s">
        <v>183</v>
      </c>
      <c r="J343" s="638"/>
      <c r="L343" s="638" t="s">
        <v>183</v>
      </c>
      <c r="M343" s="638"/>
      <c r="O343" s="644" t="str">
        <f>A203</f>
        <v>p24-6G 142G117 WT</v>
      </c>
      <c r="P343" s="645"/>
      <c r="R343" s="638" t="s">
        <v>183</v>
      </c>
      <c r="S343" s="638"/>
    </row>
    <row r="344" spans="1:19" x14ac:dyDescent="0.3">
      <c r="A344" s="398" t="str">
        <v xml:space="preserve"> </v>
      </c>
      <c r="C344" s="638" t="s">
        <v>183</v>
      </c>
      <c r="D344" s="638"/>
      <c r="F344" s="638" t="s">
        <v>183</v>
      </c>
      <c r="G344" s="638"/>
      <c r="I344" s="638" t="s">
        <v>183</v>
      </c>
      <c r="J344" s="638"/>
      <c r="L344" s="638" t="s">
        <v>183</v>
      </c>
      <c r="M344" s="638"/>
      <c r="O344" s="644" t="str">
        <f>A208</f>
        <v>p24-6G 139G107 DT</v>
      </c>
      <c r="P344" s="645"/>
      <c r="R344" s="638" t="s">
        <v>183</v>
      </c>
      <c r="S344" s="638"/>
    </row>
    <row r="345" spans="1:19" x14ac:dyDescent="0.3">
      <c r="A345" s="398" t="str">
        <v xml:space="preserve"> </v>
      </c>
      <c r="C345" s="638" t="s">
        <v>183</v>
      </c>
      <c r="D345" s="638"/>
      <c r="F345" s="638" t="s">
        <v>183</v>
      </c>
      <c r="G345" s="638"/>
      <c r="I345" s="638" t="s">
        <v>183</v>
      </c>
      <c r="J345" s="638"/>
      <c r="L345" s="638" t="s">
        <v>183</v>
      </c>
      <c r="M345" s="638"/>
      <c r="O345" s="644" t="str">
        <f>A263</f>
        <v>Cariacou</v>
      </c>
      <c r="P345" s="645"/>
      <c r="R345" s="638" t="s">
        <v>183</v>
      </c>
      <c r="S345" s="638"/>
    </row>
    <row r="346" spans="1:19" x14ac:dyDescent="0.3">
      <c r="A346" s="473" t="str">
        <v xml:space="preserve"> </v>
      </c>
      <c r="C346" s="638" t="s">
        <v>183</v>
      </c>
      <c r="D346" s="638"/>
      <c r="F346" s="638" t="s">
        <v>183</v>
      </c>
      <c r="G346" s="638"/>
      <c r="I346" s="638" t="s">
        <v>183</v>
      </c>
      <c r="J346" s="638"/>
      <c r="L346" s="638" t="s">
        <v>183</v>
      </c>
      <c r="M346" s="638"/>
      <c r="O346" s="652" t="str">
        <f>A258</f>
        <v>Wapiti</v>
      </c>
      <c r="P346" s="653"/>
      <c r="R346" s="638" t="s">
        <v>183</v>
      </c>
      <c r="S346" s="638"/>
    </row>
  </sheetData>
  <sheetProtection algorithmName="SHA-512" hashValue="TT52kldpbNfsZI03mY8g5TIIsjEeL9Q9TBJMBYh4cROlVUm3NqAv8usVb5XJtvE8tyHIClwYMgtE2emaKO5x7A==" saltValue="IfNq7E35bfDyzUo3UGtZTg==" spinCount="100000" sheet="1" objects="1" scenarios="1"/>
  <dataConsolidate/>
  <mergeCells count="186">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C345:D345"/>
    <mergeCell ref="C346:D346"/>
    <mergeCell ref="C335:D335"/>
    <mergeCell ref="C336:D336"/>
    <mergeCell ref="C337:D337"/>
    <mergeCell ref="C338:D338"/>
    <mergeCell ref="C339:D339"/>
    <mergeCell ref="C340:D340"/>
    <mergeCell ref="C334:D334"/>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AL41" sqref="AL41"/>
    </sheetView>
  </sheetViews>
  <sheetFormatPr defaultColWidth="11.61328125" defaultRowHeight="12.45" x14ac:dyDescent="0.3"/>
  <cols>
    <col min="1" max="1" width="4.61328125" style="7" bestFit="1" customWidth="1"/>
    <col min="2" max="2" width="6" style="7" bestFit="1" customWidth="1"/>
    <col min="3" max="3" width="1.3828125" style="8" customWidth="1"/>
    <col min="4" max="4" width="7.15234375" style="7" customWidth="1"/>
    <col min="5" max="6" width="7.3828125" style="7" customWidth="1"/>
    <col min="7" max="7" width="7.15234375" style="7" customWidth="1"/>
    <col min="8" max="8" width="7.3828125" style="7" customWidth="1"/>
    <col min="9" max="9" width="7.15234375" style="7" customWidth="1"/>
    <col min="10" max="12" width="7.61328125" style="7" bestFit="1" customWidth="1"/>
    <col min="13" max="13" width="5.84375" style="7" customWidth="1"/>
    <col min="14" max="14" width="6.3828125" style="7" customWidth="1"/>
    <col min="15" max="15" width="1.3828125" style="8" customWidth="1"/>
    <col min="16" max="16" width="4" style="7" customWidth="1"/>
    <col min="17" max="17" width="8.61328125" style="7" customWidth="1"/>
    <col min="18" max="18" width="5.84375" style="7" customWidth="1"/>
    <col min="19" max="19" width="5.15234375" style="7" customWidth="1"/>
    <col min="20" max="20" width="6" style="7" customWidth="1"/>
    <col min="21" max="21" width="8.84375" style="7" customWidth="1"/>
    <col min="22" max="22" width="6.84375" style="7" customWidth="1"/>
    <col min="23" max="23" width="7.15234375" style="7" customWidth="1"/>
    <col min="24" max="24" width="1.3828125" style="8" customWidth="1"/>
    <col min="25" max="25" width="15.84375" style="7" customWidth="1"/>
    <col min="26" max="26" width="5.84375" style="7" customWidth="1"/>
    <col min="27" max="27" width="7.84375" style="7" customWidth="1"/>
    <col min="28" max="28" width="1.61328125" style="7" customWidth="1"/>
    <col min="29" max="29" width="7.15234375" style="7" bestFit="1" customWidth="1"/>
    <col min="30" max="31" width="6.84375" style="7" bestFit="1" customWidth="1"/>
    <col min="32" max="32" width="1.84375" style="7" customWidth="1"/>
    <col min="33" max="238" width="11.3828125" style="7" customWidth="1"/>
    <col min="239" max="239" width="11" style="7" customWidth="1"/>
  </cols>
  <sheetData>
    <row r="1" spans="1:248" ht="12.9" thickBot="1" x14ac:dyDescent="0.3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3">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3">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3">
      <c r="A4" s="292" t="s">
        <v>14</v>
      </c>
      <c r="B4" s="349">
        <f>T_ini</f>
        <v>0</v>
      </c>
      <c r="D4" s="292" t="s">
        <v>14</v>
      </c>
      <c r="E4" s="293" t="s">
        <v>14</v>
      </c>
      <c r="F4" s="294" t="s">
        <v>14</v>
      </c>
      <c r="G4" s="292">
        <f>vit_xz*COS(Beta)</f>
        <v>0</v>
      </c>
      <c r="H4" s="293">
        <f>vit_xz*SIN(Beta)</f>
        <v>0</v>
      </c>
      <c r="I4" s="349">
        <f>V_ini</f>
        <v>0</v>
      </c>
      <c r="J4" s="350">
        <f>X_ini</f>
        <v>0</v>
      </c>
      <c r="K4" s="351">
        <f>Z_ini</f>
        <v>0</v>
      </c>
      <c r="L4" s="327">
        <f t="shared" ref="L4:L67" si="0">SQRT(pos_x^2+pos_z^2)</f>
        <v>0</v>
      </c>
      <c r="M4" s="292">
        <f>RADIANS(N4)</f>
        <v>1.3962634015954636</v>
      </c>
      <c r="N4" s="349">
        <f>Beta_rampe</f>
        <v>80</v>
      </c>
      <c r="P4" s="292" t="s">
        <v>14</v>
      </c>
      <c r="Q4" s="294" t="s">
        <v>14</v>
      </c>
      <c r="R4" s="292" t="s">
        <v>14</v>
      </c>
      <c r="S4" s="351">
        <f ca="1">m_tot</f>
        <v>9.532</v>
      </c>
      <c r="T4" s="327">
        <f t="shared" ref="T4:T67" ca="1" si="1">m*g</f>
        <v>93.508920000000003</v>
      </c>
      <c r="U4" s="328">
        <f t="shared" ref="U4:U67" ca="1" si="2">IF(pos_xz&lt;L_rampe,Poids*COS(Beta),0)</f>
        <v>16.237653553602783</v>
      </c>
      <c r="V4" s="329">
        <f t="shared" ref="V4:V67" si="3">Rho_moyen*(20000-Alt_rampe-pos_z)/(20000+Alt_rampe+pos_z)</f>
        <v>1.2250000000000001</v>
      </c>
      <c r="W4" s="327">
        <f t="shared" ref="W4:W67" si="4">1/2*Rho*Sref*Cx*vit_xz^2</f>
        <v>0</v>
      </c>
      <c r="Y4" s="295" t="s">
        <v>14</v>
      </c>
      <c r="Z4" s="296" t="s">
        <v>14</v>
      </c>
      <c r="AA4" s="297" t="s">
        <v>14</v>
      </c>
      <c r="AC4" s="320">
        <f>IF(ABS(t-ROUND(t,0))&lt;0.001,t,-1)</f>
        <v>0</v>
      </c>
      <c r="AD4" s="321">
        <f>IF(ABS(t-ROUND(t,0))&lt;0.001,pos_x,-1)</f>
        <v>0</v>
      </c>
      <c r="AE4" s="322">
        <f t="shared" ref="AE4:AE67" si="5">IF(t&lt;T_para, pos_z, NA())</f>
        <v>0</v>
      </c>
      <c r="AG4" s="292" t="s">
        <v>14</v>
      </c>
      <c r="AH4" s="294" t="s">
        <v>14</v>
      </c>
    </row>
    <row r="5" spans="1:248" x14ac:dyDescent="0.3">
      <c r="A5" s="347">
        <f t="shared" ref="A5:A68" ca="1" si="6">IF(B4+0.01&lt;=T_ini+ROUNDUP(Temps_fin_propu,0), 0.01, IF(K4&gt;0, 0.1, 0.0001))</f>
        <v>0.01</v>
      </c>
      <c r="B5" s="304">
        <f t="shared" ref="B5:B68" ca="1" si="7">B4+pas</f>
        <v>0.01</v>
      </c>
      <c r="D5" s="306">
        <f t="shared" ref="D5:D68" ca="1" si="8">IF(AND(L4&lt;L_rampe,Poussee&lt;Poids*SIN(M4)),0,(-W4+Poussee)/m*COS(M4)-U4/m*SIN(M4))</f>
        <v>2.8065028520018949</v>
      </c>
      <c r="E5" s="307">
        <f t="shared" ref="E5:E68" ca="1" si="9">IF(AND(L4&lt;L_rampe,Poussee&lt;Poids*SIN(M4)),0,(-W4+Poussee)/m*SIN(M4)+U4/m*COS(M4)-Poids/m)</f>
        <v>15.917713571658597</v>
      </c>
      <c r="F5" s="304">
        <f t="shared" ref="F5:F68" ca="1" si="10">SQRT(acc_x^2+acc_z^2)</f>
        <v>16.163231842909976</v>
      </c>
      <c r="G5" s="306">
        <f t="shared" ref="G5:G68" ca="1" si="11">G4+acc_x*pas</f>
        <v>2.806502852001895E-2</v>
      </c>
      <c r="H5" s="307">
        <f t="shared" ref="H5:H68" ca="1" si="12">H4+acc_z*pas</f>
        <v>0.15917713571658598</v>
      </c>
      <c r="I5" s="304">
        <f t="shared" ref="I5:I68" ca="1" si="13">SQRT(vit_x^2+vit_z^2)</f>
        <v>0.16163231842909978</v>
      </c>
      <c r="J5" s="306">
        <f t="shared" ref="J5:J68" ca="1" si="14">J4+0.5*(vit_x+G4)*pas*(K4&gt;=0)</f>
        <v>1.4032514260009475E-4</v>
      </c>
      <c r="K5" s="307">
        <f t="shared" ref="K5:K68" ca="1" si="15">K4+0.5*(vit_z+H4)*pas</f>
        <v>7.9588567858292995E-4</v>
      </c>
      <c r="L5" s="304">
        <f t="shared" ca="1" si="0"/>
        <v>8.0816159214549892E-4</v>
      </c>
      <c r="M5" s="306">
        <f t="shared" ref="M5:M68" ca="1" si="16">IF(AND(L4&gt;L_rampe,G5&gt;0),ATAN2(G5,H5),$M$4)</f>
        <v>1.3962634015954636</v>
      </c>
      <c r="N5" s="304">
        <f t="shared" ref="N5:N68" ca="1" si="17">DEGREES(Beta)</f>
        <v>80</v>
      </c>
      <c r="P5" s="310">
        <f t="shared" ref="P5:P68" ca="1" si="18">MATCH(t-pas/2-T_ini,CdP_t)</f>
        <v>1</v>
      </c>
      <c r="Q5" s="304">
        <f t="shared" ref="Q5:Q68" ca="1" si="19">(INDEX(CdP,2,i_P+1)-INDEX(CdP,2,i_P+0))/(INDEX(CdP,1,i_P+1)-INDEX(CdP,1,i_P+0))*(t-pas/2-T_ini-INDEX(CdP,1,i_P+0))+INDEX(CdP,2,i_P+0)</f>
        <v>246.125</v>
      </c>
      <c r="R5" s="306">
        <f t="shared" ref="R5:R68" ca="1" si="20">Poussee/(g*ISP)</f>
        <v>0.12095363881938478</v>
      </c>
      <c r="S5" s="307">
        <f t="shared" ref="S5:S68" ca="1" si="21">S4-Débit*pas</f>
        <v>9.5307904636118064</v>
      </c>
      <c r="T5" s="304">
        <f t="shared" ca="1" si="1"/>
        <v>93.497054448031818</v>
      </c>
      <c r="U5" s="311">
        <f t="shared" ca="1" si="2"/>
        <v>16.235593122126495</v>
      </c>
      <c r="V5" s="306">
        <f t="shared" ca="1" si="3"/>
        <v>1.2249999025040086</v>
      </c>
      <c r="W5" s="304">
        <f t="shared" ca="1" si="4"/>
        <v>9.9174294596173312E-5</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7.9588567858292995E-4</v>
      </c>
      <c r="AG5" s="306">
        <f t="shared" ref="AG5:AG68" ca="1" si="27">IF(AND(L4&lt;L_rampe,Poussee&lt;Poids*SIN(M4)),0,(-W4+Poussee)/m-Poids*SIN(M4)/m)</f>
        <v>16.163231841464203</v>
      </c>
      <c r="AH5" s="304">
        <f t="shared" ref="AH5:AH68" ca="1" si="28">IF(AND(L4&lt;L_rampe,Poussee&lt;Poids*SIN(M4)), g*SIN(M4), (-W4+Poussee)/m)</f>
        <v>25.824195898513963</v>
      </c>
    </row>
    <row r="6" spans="1:248" x14ac:dyDescent="0.3">
      <c r="A6" s="347">
        <f t="shared" ca="1" si="6"/>
        <v>0.01</v>
      </c>
      <c r="B6" s="304">
        <f t="shared" ca="1" si="7"/>
        <v>0.02</v>
      </c>
      <c r="D6" s="306">
        <f t="shared" ca="1" si="8"/>
        <v>15.289630219958804</v>
      </c>
      <c r="E6" s="307">
        <f t="shared" ca="1" si="9"/>
        <v>86.716512686061108</v>
      </c>
      <c r="F6" s="304">
        <f t="shared" ca="1" si="10"/>
        <v>88.054110436111245</v>
      </c>
      <c r="G6" s="306">
        <f t="shared" ca="1" si="11"/>
        <v>0.18096133071960702</v>
      </c>
      <c r="H6" s="307">
        <f t="shared" ca="1" si="12"/>
        <v>1.026342262577197</v>
      </c>
      <c r="I6" s="304">
        <f t="shared" ca="1" si="13"/>
        <v>1.0421734227890727</v>
      </c>
      <c r="J6" s="306">
        <f t="shared" ca="1" si="14"/>
        <v>1.1854569387982246E-3</v>
      </c>
      <c r="K6" s="307">
        <f t="shared" ca="1" si="15"/>
        <v>6.723482670051845E-3</v>
      </c>
      <c r="L6" s="304">
        <f t="shared" ca="1" si="0"/>
        <v>6.8271902982290121E-3</v>
      </c>
      <c r="M6" s="306">
        <f t="shared" ca="1" si="16"/>
        <v>1.3962634015954636</v>
      </c>
      <c r="N6" s="304">
        <f t="shared" ca="1" si="17"/>
        <v>80</v>
      </c>
      <c r="P6" s="310">
        <f t="shared" ca="1" si="18"/>
        <v>2</v>
      </c>
      <c r="Q6" s="304">
        <f t="shared" ca="1" si="19"/>
        <v>930.85500000000002</v>
      </c>
      <c r="R6" s="306">
        <f t="shared" ca="1" si="20"/>
        <v>0.45745169919032375</v>
      </c>
      <c r="S6" s="307">
        <f t="shared" ca="1" si="21"/>
        <v>9.526215946619903</v>
      </c>
      <c r="T6" s="304">
        <f t="shared" ca="1" si="1"/>
        <v>93.452178436341256</v>
      </c>
      <c r="U6" s="311">
        <f t="shared" ca="1" si="2"/>
        <v>16.22780048447547</v>
      </c>
      <c r="V6" s="306">
        <f t="shared" ca="1" si="3"/>
        <v>1.2249991763736499</v>
      </c>
      <c r="W6" s="304">
        <f t="shared" ca="1" si="4"/>
        <v>4.1230864916218992E-3</v>
      </c>
      <c r="Y6" s="314" t="str">
        <f t="shared" ca="1" si="22"/>
        <v/>
      </c>
      <c r="Z6" s="315" t="str">
        <f t="shared" ca="1" si="23"/>
        <v/>
      </c>
      <c r="AA6" s="316" t="str">
        <f t="shared" ca="1" si="24"/>
        <v/>
      </c>
      <c r="AC6" s="310" t="e">
        <f t="shared" ca="1" si="25"/>
        <v>#N/A</v>
      </c>
      <c r="AD6" s="323" t="e">
        <f t="shared" ca="1" si="26"/>
        <v>#N/A</v>
      </c>
      <c r="AE6" s="324">
        <f t="shared" ca="1" si="5"/>
        <v>6.723482670051845E-3</v>
      </c>
      <c r="AG6" s="306">
        <f t="shared" ca="1" si="27"/>
        <v>88.054110432311546</v>
      </c>
      <c r="AH6" s="304">
        <f t="shared" ca="1" si="28"/>
        <v>97.715074489361314</v>
      </c>
    </row>
    <row r="7" spans="1:248" x14ac:dyDescent="0.3">
      <c r="A7" s="347">
        <f t="shared" ca="1" si="6"/>
        <v>0.01</v>
      </c>
      <c r="B7" s="304">
        <f t="shared" ca="1" si="7"/>
        <v>0.03</v>
      </c>
      <c r="D7" s="306">
        <f t="shared" ca="1" si="8"/>
        <v>22.89593435543636</v>
      </c>
      <c r="E7" s="307">
        <f t="shared" ca="1" si="9"/>
        <v>129.85611888151107</v>
      </c>
      <c r="F7" s="304">
        <f t="shared" ca="1" si="10"/>
        <v>131.85914993271263</v>
      </c>
      <c r="G7" s="306">
        <f t="shared" ca="1" si="11"/>
        <v>0.40992067427397061</v>
      </c>
      <c r="H7" s="307">
        <f t="shared" ca="1" si="12"/>
        <v>2.3249034513923075</v>
      </c>
      <c r="I7" s="304">
        <f t="shared" ca="1" si="13"/>
        <v>2.3607649221159419</v>
      </c>
      <c r="J7" s="306">
        <f t="shared" ca="1" si="14"/>
        <v>4.1398669637661128E-3</v>
      </c>
      <c r="K7" s="307">
        <f t="shared" ca="1" si="15"/>
        <v>2.3479711239899365E-2</v>
      </c>
      <c r="L7" s="304">
        <f t="shared" ca="1" si="0"/>
        <v>2.3841882022750189E-2</v>
      </c>
      <c r="M7" s="306">
        <f t="shared" ca="1" si="16"/>
        <v>1.3962634015954636</v>
      </c>
      <c r="N7" s="304">
        <f t="shared" ca="1" si="17"/>
        <v>80</v>
      </c>
      <c r="P7" s="310">
        <f t="shared" ca="1" si="18"/>
        <v>3</v>
      </c>
      <c r="Q7" s="304">
        <f t="shared" ca="1" si="19"/>
        <v>1347.2183333333335</v>
      </c>
      <c r="R7" s="306">
        <f t="shared" ca="1" si="20"/>
        <v>0.66206585962764264</v>
      </c>
      <c r="S7" s="307">
        <f t="shared" ca="1" si="21"/>
        <v>9.519595288023627</v>
      </c>
      <c r="T7" s="304">
        <f t="shared" ca="1" si="1"/>
        <v>93.387229775511784</v>
      </c>
      <c r="U7" s="311">
        <f t="shared" ca="1" si="2"/>
        <v>16.216522267880524</v>
      </c>
      <c r="V7" s="306">
        <f t="shared" ca="1" si="3"/>
        <v>1.22499712373875</v>
      </c>
      <c r="W7" s="304">
        <f t="shared" ca="1" si="4"/>
        <v>2.1156665375907029E-2</v>
      </c>
      <c r="Y7" s="314" t="str">
        <f t="shared" ca="1" si="22"/>
        <v/>
      </c>
      <c r="Z7" s="315" t="str">
        <f t="shared" ca="1" si="23"/>
        <v/>
      </c>
      <c r="AA7" s="316" t="str">
        <f t="shared" ca="1" si="24"/>
        <v/>
      </c>
      <c r="AC7" s="310" t="e">
        <f t="shared" ca="1" si="25"/>
        <v>#N/A</v>
      </c>
      <c r="AD7" s="323" t="e">
        <f t="shared" ca="1" si="26"/>
        <v>#N/A</v>
      </c>
      <c r="AE7" s="324">
        <f t="shared" ca="1" si="5"/>
        <v>2.3479711239899365E-2</v>
      </c>
      <c r="AG7" s="306">
        <f t="shared" ca="1" si="27"/>
        <v>131.85914992739026</v>
      </c>
      <c r="AH7" s="304">
        <f t="shared" ca="1" si="28"/>
        <v>141.52011398444003</v>
      </c>
    </row>
    <row r="8" spans="1:248" x14ac:dyDescent="0.3">
      <c r="A8" s="347">
        <f t="shared" ca="1" si="6"/>
        <v>0.01</v>
      </c>
      <c r="B8" s="304">
        <f t="shared" ca="1" si="7"/>
        <v>0.04</v>
      </c>
      <c r="D8" s="306">
        <f t="shared" ca="1" si="8"/>
        <v>22.100226798134599</v>
      </c>
      <c r="E8" s="307">
        <f t="shared" ca="1" si="9"/>
        <v>125.34321624385504</v>
      </c>
      <c r="F8" s="304">
        <f t="shared" ca="1" si="10"/>
        <v>127.27663525911892</v>
      </c>
      <c r="G8" s="306">
        <f t="shared" ca="1" si="11"/>
        <v>0.63092294225531664</v>
      </c>
      <c r="H8" s="307">
        <f t="shared" ca="1" si="12"/>
        <v>3.5783356138308582</v>
      </c>
      <c r="I8" s="304">
        <f t="shared" ca="1" si="13"/>
        <v>3.6335312747070683</v>
      </c>
      <c r="J8" s="306">
        <f t="shared" ca="1" si="14"/>
        <v>9.3440850464125494E-3</v>
      </c>
      <c r="K8" s="307">
        <f t="shared" ca="1" si="15"/>
        <v>5.2995906566015188E-2</v>
      </c>
      <c r="L8" s="304">
        <f t="shared" ca="1" si="0"/>
        <v>5.3813363006862916E-2</v>
      </c>
      <c r="M8" s="306">
        <f t="shared" ca="1" si="16"/>
        <v>1.3962634015954636</v>
      </c>
      <c r="N8" s="304">
        <f t="shared" ca="1" si="17"/>
        <v>80</v>
      </c>
      <c r="P8" s="310">
        <f t="shared" ca="1" si="18"/>
        <v>3</v>
      </c>
      <c r="Q8" s="304">
        <f t="shared" ca="1" si="19"/>
        <v>1302.7349999999999</v>
      </c>
      <c r="R8" s="306">
        <f t="shared" ca="1" si="20"/>
        <v>0.64020533739917207</v>
      </c>
      <c r="S8" s="307">
        <f t="shared" ca="1" si="21"/>
        <v>9.513193234649636</v>
      </c>
      <c r="T8" s="304">
        <f t="shared" ca="1" si="1"/>
        <v>93.324425631912931</v>
      </c>
      <c r="U8" s="311">
        <f t="shared" ca="1" si="2"/>
        <v>16.20561644279465</v>
      </c>
      <c r="V8" s="306">
        <f t="shared" ca="1" si="3"/>
        <v>1.2249935080186485</v>
      </c>
      <c r="W8" s="304">
        <f t="shared" ca="1" si="4"/>
        <v>5.0118521811996782E-2</v>
      </c>
      <c r="Y8" s="314" t="str">
        <f t="shared" ca="1" si="22"/>
        <v/>
      </c>
      <c r="Z8" s="315" t="str">
        <f t="shared" ca="1" si="23"/>
        <v/>
      </c>
      <c r="AA8" s="316" t="str">
        <f t="shared" ca="1" si="24"/>
        <v/>
      </c>
      <c r="AC8" s="310" t="e">
        <f t="shared" ca="1" si="25"/>
        <v>#N/A</v>
      </c>
      <c r="AD8" s="323" t="e">
        <f t="shared" ca="1" si="26"/>
        <v>#N/A</v>
      </c>
      <c r="AE8" s="324">
        <f t="shared" ca="1" si="5"/>
        <v>5.2995906566015188E-2</v>
      </c>
      <c r="AG8" s="306">
        <f t="shared" ca="1" si="27"/>
        <v>127.27663525395613</v>
      </c>
      <c r="AH8" s="304">
        <f t="shared" ca="1" si="28"/>
        <v>136.9375993110059</v>
      </c>
    </row>
    <row r="9" spans="1:248" x14ac:dyDescent="0.3">
      <c r="A9" s="347">
        <f t="shared" ca="1" si="6"/>
        <v>0.01</v>
      </c>
      <c r="B9" s="304">
        <f t="shared" ca="1" si="7"/>
        <v>0.05</v>
      </c>
      <c r="D9" s="306">
        <f t="shared" ca="1" si="8"/>
        <v>21.302701249502121</v>
      </c>
      <c r="E9" s="307">
        <f t="shared" ca="1" si="9"/>
        <v>120.82000282087139</v>
      </c>
      <c r="F9" s="304">
        <f t="shared" ca="1" si="10"/>
        <v>122.68365075331313</v>
      </c>
      <c r="G9" s="306">
        <f t="shared" ca="1" si="11"/>
        <v>0.84394995475033785</v>
      </c>
      <c r="H9" s="307">
        <f t="shared" ca="1" si="12"/>
        <v>4.7865356420395724</v>
      </c>
      <c r="I9" s="304">
        <f t="shared" ca="1" si="13"/>
        <v>4.860367782240175</v>
      </c>
      <c r="J9" s="306">
        <f t="shared" ca="1" si="14"/>
        <v>1.6718449531440822E-2</v>
      </c>
      <c r="K9" s="307">
        <f t="shared" ca="1" si="15"/>
        <v>9.4820262845367348E-2</v>
      </c>
      <c r="L9" s="304">
        <f t="shared" ca="1" si="0"/>
        <v>9.6282858291597703E-2</v>
      </c>
      <c r="M9" s="306">
        <f t="shared" ca="1" si="16"/>
        <v>1.3962634015954636</v>
      </c>
      <c r="N9" s="304">
        <f t="shared" ca="1" si="17"/>
        <v>80</v>
      </c>
      <c r="P9" s="310">
        <f t="shared" ca="1" si="18"/>
        <v>3</v>
      </c>
      <c r="Q9" s="304">
        <f t="shared" ca="1" si="19"/>
        <v>1258.2516666666666</v>
      </c>
      <c r="R9" s="306">
        <f t="shared" ca="1" si="20"/>
        <v>0.61834481517070161</v>
      </c>
      <c r="S9" s="307">
        <f t="shared" ca="1" si="21"/>
        <v>9.5070097864979282</v>
      </c>
      <c r="T9" s="304">
        <f t="shared" ca="1" si="1"/>
        <v>93.263766005544682</v>
      </c>
      <c r="U9" s="311">
        <f t="shared" ca="1" si="2"/>
        <v>16.195083009217846</v>
      </c>
      <c r="V9" s="306">
        <f t="shared" ca="1" si="3"/>
        <v>1.2249883845728702</v>
      </c>
      <c r="W9" s="304">
        <f t="shared" ca="1" si="4"/>
        <v>8.9676138418443158E-2</v>
      </c>
      <c r="Y9" s="314" t="str">
        <f t="shared" ca="1" si="22"/>
        <v/>
      </c>
      <c r="Z9" s="315" t="str">
        <f t="shared" ca="1" si="23"/>
        <v/>
      </c>
      <c r="AA9" s="316" t="str">
        <f t="shared" ca="1" si="24"/>
        <v/>
      </c>
      <c r="AC9" s="310" t="e">
        <f t="shared" ca="1" si="25"/>
        <v>#N/A</v>
      </c>
      <c r="AD9" s="323" t="e">
        <f t="shared" ca="1" si="26"/>
        <v>#N/A</v>
      </c>
      <c r="AE9" s="324">
        <f t="shared" ca="1" si="5"/>
        <v>9.4820262845367348E-2</v>
      </c>
      <c r="AG9" s="306">
        <f t="shared" ca="1" si="27"/>
        <v>122.68365074831007</v>
      </c>
      <c r="AH9" s="304">
        <f t="shared" ca="1" si="28"/>
        <v>132.34461480535984</v>
      </c>
    </row>
    <row r="10" spans="1:248" x14ac:dyDescent="0.3">
      <c r="A10" s="347">
        <f t="shared" ca="1" si="6"/>
        <v>0.01</v>
      </c>
      <c r="B10" s="304">
        <f t="shared" ca="1" si="7"/>
        <v>6.0000000000000005E-2</v>
      </c>
      <c r="D10" s="306">
        <f t="shared" ca="1" si="8"/>
        <v>20.98965822709232</v>
      </c>
      <c r="E10" s="307">
        <f t="shared" ca="1" si="9"/>
        <v>119.04456090663712</v>
      </c>
      <c r="F10" s="304">
        <f t="shared" ca="1" si="10"/>
        <v>120.88082244071711</v>
      </c>
      <c r="G10" s="306">
        <f t="shared" ca="1" si="11"/>
        <v>1.0538465370212611</v>
      </c>
      <c r="H10" s="307">
        <f t="shared" ca="1" si="12"/>
        <v>5.9769812511059435</v>
      </c>
      <c r="I10" s="304">
        <f t="shared" ca="1" si="13"/>
        <v>6.0691760066473339</v>
      </c>
      <c r="J10" s="306">
        <f t="shared" ca="1" si="14"/>
        <v>2.6207431990298818E-2</v>
      </c>
      <c r="K10" s="307">
        <f t="shared" ca="1" si="15"/>
        <v>0.14863784731109492</v>
      </c>
      <c r="L10" s="304">
        <f t="shared" ca="1" si="0"/>
        <v>0.15093057723603426</v>
      </c>
      <c r="M10" s="306">
        <f t="shared" ca="1" si="16"/>
        <v>1.3962634015954636</v>
      </c>
      <c r="N10" s="304">
        <f t="shared" ca="1" si="17"/>
        <v>80</v>
      </c>
      <c r="P10" s="310">
        <f t="shared" ca="1" si="18"/>
        <v>4</v>
      </c>
      <c r="Q10" s="304">
        <f t="shared" ca="1" si="19"/>
        <v>1240.356</v>
      </c>
      <c r="R10" s="306">
        <f t="shared" ca="1" si="20"/>
        <v>0.60955031643050006</v>
      </c>
      <c r="S10" s="307">
        <f t="shared" ca="1" si="21"/>
        <v>9.5009142833336231</v>
      </c>
      <c r="T10" s="304">
        <f t="shared" ca="1" si="1"/>
        <v>93.203969119502844</v>
      </c>
      <c r="U10" s="311">
        <f t="shared" ca="1" si="2"/>
        <v>16.184699388926525</v>
      </c>
      <c r="V10" s="306">
        <f t="shared" ca="1" si="3"/>
        <v>1.2249817919990242</v>
      </c>
      <c r="W10" s="304">
        <f t="shared" ca="1" si="4"/>
        <v>0.13982851940057084</v>
      </c>
      <c r="Y10" s="314" t="str">
        <f t="shared" ca="1" si="22"/>
        <v/>
      </c>
      <c r="Z10" s="315" t="str">
        <f t="shared" ca="1" si="23"/>
        <v/>
      </c>
      <c r="AA10" s="316" t="str">
        <f t="shared" ca="1" si="24"/>
        <v/>
      </c>
      <c r="AC10" s="310" t="e">
        <f t="shared" ca="1" si="25"/>
        <v>#N/A</v>
      </c>
      <c r="AD10" s="323" t="e">
        <f t="shared" ca="1" si="26"/>
        <v>#N/A</v>
      </c>
      <c r="AE10" s="324">
        <f t="shared" ca="1" si="5"/>
        <v>0.14863784731109492</v>
      </c>
      <c r="AG10" s="306">
        <f t="shared" ca="1" si="27"/>
        <v>120.88082243577651</v>
      </c>
      <c r="AH10" s="304">
        <f t="shared" ca="1" si="28"/>
        <v>130.54178649282628</v>
      </c>
    </row>
    <row r="11" spans="1:248" x14ac:dyDescent="0.3">
      <c r="A11" s="347">
        <f t="shared" ca="1" si="6"/>
        <v>0.01</v>
      </c>
      <c r="B11" s="304">
        <f t="shared" ca="1" si="7"/>
        <v>7.0000000000000007E-2</v>
      </c>
      <c r="D11" s="306">
        <f t="shared" ca="1" si="8"/>
        <v>21.162353828953801</v>
      </c>
      <c r="E11" s="307">
        <f t="shared" ca="1" si="9"/>
        <v>120.02401453602548</v>
      </c>
      <c r="F11" s="304">
        <f t="shared" ca="1" si="10"/>
        <v>121.87538424524408</v>
      </c>
      <c r="G11" s="306">
        <f t="shared" ca="1" si="11"/>
        <v>1.265470075310799</v>
      </c>
      <c r="H11" s="307">
        <f t="shared" ca="1" si="12"/>
        <v>7.1772213964661979</v>
      </c>
      <c r="I11" s="304">
        <f t="shared" ca="1" si="13"/>
        <v>7.2879298490997648</v>
      </c>
      <c r="J11" s="306">
        <f t="shared" ca="1" si="14"/>
        <v>3.7804015051959121E-2</v>
      </c>
      <c r="K11" s="307">
        <f t="shared" ca="1" si="15"/>
        <v>0.21440886054895564</v>
      </c>
      <c r="L11" s="304">
        <f t="shared" ca="1" si="0"/>
        <v>0.21771610651476903</v>
      </c>
      <c r="M11" s="306">
        <f t="shared" ca="1" si="16"/>
        <v>1.3962634015954636</v>
      </c>
      <c r="N11" s="304">
        <f t="shared" ca="1" si="17"/>
        <v>80</v>
      </c>
      <c r="P11" s="310">
        <f t="shared" ca="1" si="18"/>
        <v>4</v>
      </c>
      <c r="Q11" s="304">
        <f t="shared" ca="1" si="19"/>
        <v>1249.048</v>
      </c>
      <c r="R11" s="306">
        <f t="shared" ca="1" si="20"/>
        <v>0.61382184117856753</v>
      </c>
      <c r="S11" s="307">
        <f t="shared" ca="1" si="21"/>
        <v>9.4947760649218367</v>
      </c>
      <c r="T11" s="304">
        <f t="shared" ca="1" si="1"/>
        <v>93.143753196883225</v>
      </c>
      <c r="U11" s="311">
        <f t="shared" ca="1" si="2"/>
        <v>16.174243003697097</v>
      </c>
      <c r="V11" s="306">
        <f t="shared" ca="1" si="3"/>
        <v>1.2249737351961532</v>
      </c>
      <c r="W11" s="304">
        <f t="shared" ca="1" si="4"/>
        <v>0.20162380455019863</v>
      </c>
      <c r="Y11" s="314" t="str">
        <f t="shared" ca="1" si="22"/>
        <v/>
      </c>
      <c r="Z11" s="315" t="str">
        <f t="shared" ca="1" si="23"/>
        <v/>
      </c>
      <c r="AA11" s="316" t="str">
        <f t="shared" ca="1" si="24"/>
        <v/>
      </c>
      <c r="AC11" s="310" t="e">
        <f t="shared" ca="1" si="25"/>
        <v>#N/A</v>
      </c>
      <c r="AD11" s="323" t="e">
        <f t="shared" ca="1" si="26"/>
        <v>#N/A</v>
      </c>
      <c r="AE11" s="324">
        <f t="shared" ca="1" si="5"/>
        <v>0.21440886054895564</v>
      </c>
      <c r="AG11" s="306">
        <f t="shared" ca="1" si="27"/>
        <v>121.87538424026846</v>
      </c>
      <c r="AH11" s="304">
        <f t="shared" ca="1" si="28"/>
        <v>131.53634829731823</v>
      </c>
    </row>
    <row r="12" spans="1:248" x14ac:dyDescent="0.3">
      <c r="A12" s="347">
        <f t="shared" ca="1" si="6"/>
        <v>0.01</v>
      </c>
      <c r="B12" s="304">
        <f t="shared" ca="1" si="7"/>
        <v>0.08</v>
      </c>
      <c r="D12" s="306">
        <f t="shared" ca="1" si="8"/>
        <v>21.335163389618575</v>
      </c>
      <c r="E12" s="307">
        <f t="shared" ca="1" si="9"/>
        <v>121.00411454903477</v>
      </c>
      <c r="F12" s="304">
        <f t="shared" ca="1" si="10"/>
        <v>122.870602402111</v>
      </c>
      <c r="G12" s="306">
        <f t="shared" ca="1" si="11"/>
        <v>1.4788217092069849</v>
      </c>
      <c r="H12" s="307">
        <f t="shared" ca="1" si="12"/>
        <v>8.3872625419565452</v>
      </c>
      <c r="I12" s="304">
        <f t="shared" ca="1" si="13"/>
        <v>8.5166358731208671</v>
      </c>
      <c r="J12" s="306">
        <f t="shared" ca="1" si="14"/>
        <v>5.1525473974548042E-2</v>
      </c>
      <c r="K12" s="307">
        <f t="shared" ca="1" si="15"/>
        <v>0.29223128024106937</v>
      </c>
      <c r="L12" s="304">
        <f t="shared" ca="1" si="0"/>
        <v>0.29673893512587163</v>
      </c>
      <c r="M12" s="306">
        <f t="shared" ca="1" si="16"/>
        <v>1.3962634015954636</v>
      </c>
      <c r="N12" s="304">
        <f t="shared" ca="1" si="17"/>
        <v>80</v>
      </c>
      <c r="P12" s="310">
        <f t="shared" ca="1" si="18"/>
        <v>4</v>
      </c>
      <c r="Q12" s="304">
        <f t="shared" ca="1" si="19"/>
        <v>1257.74</v>
      </c>
      <c r="R12" s="306">
        <f t="shared" ca="1" si="20"/>
        <v>0.61809336592663489</v>
      </c>
      <c r="S12" s="307">
        <f t="shared" ca="1" si="21"/>
        <v>9.4885951312625707</v>
      </c>
      <c r="T12" s="304">
        <f t="shared" ca="1" si="1"/>
        <v>93.083118237685824</v>
      </c>
      <c r="U12" s="311">
        <f t="shared" ca="1" si="2"/>
        <v>16.163713853529558</v>
      </c>
      <c r="V12" s="306">
        <f t="shared" ca="1" si="3"/>
        <v>1.2249642021912326</v>
      </c>
      <c r="W12" s="304">
        <f t="shared" ca="1" si="4"/>
        <v>0.27533804049823568</v>
      </c>
      <c r="Y12" s="314" t="str">
        <f t="shared" ca="1" si="22"/>
        <v/>
      </c>
      <c r="Z12" s="315" t="str">
        <f t="shared" ca="1" si="23"/>
        <v/>
      </c>
      <c r="AA12" s="316" t="str">
        <f t="shared" ca="1" si="24"/>
        <v/>
      </c>
      <c r="AC12" s="310" t="e">
        <f t="shared" ca="1" si="25"/>
        <v>#N/A</v>
      </c>
      <c r="AD12" s="323" t="e">
        <f t="shared" ca="1" si="26"/>
        <v>#N/A</v>
      </c>
      <c r="AE12" s="324">
        <f t="shared" ca="1" si="5"/>
        <v>0.29223128024106937</v>
      </c>
      <c r="AG12" s="306">
        <f t="shared" ca="1" si="27"/>
        <v>122.87060239710024</v>
      </c>
      <c r="AH12" s="304">
        <f t="shared" ca="1" si="28"/>
        <v>132.53156645415001</v>
      </c>
    </row>
    <row r="13" spans="1:248" x14ac:dyDescent="0.3">
      <c r="A13" s="347">
        <f t="shared" ca="1" si="6"/>
        <v>0.01</v>
      </c>
      <c r="B13" s="304">
        <f t="shared" ca="1" si="7"/>
        <v>0.09</v>
      </c>
      <c r="D13" s="306">
        <f t="shared" ca="1" si="8"/>
        <v>21.50808441213011</v>
      </c>
      <c r="E13" s="307">
        <f t="shared" ca="1" si="9"/>
        <v>121.98484678555164</v>
      </c>
      <c r="F13" s="304">
        <f t="shared" ca="1" si="10"/>
        <v>123.86646253273652</v>
      </c>
      <c r="G13" s="306">
        <f t="shared" ca="1" si="11"/>
        <v>1.6939025533282859</v>
      </c>
      <c r="H13" s="307">
        <f t="shared" ca="1" si="12"/>
        <v>9.607111009812062</v>
      </c>
      <c r="I13" s="304">
        <f t="shared" ca="1" si="13"/>
        <v>9.7553004984482268</v>
      </c>
      <c r="J13" s="306">
        <f t="shared" ca="1" si="14"/>
        <v>6.7389095287224393E-2</v>
      </c>
      <c r="K13" s="307">
        <f t="shared" ca="1" si="15"/>
        <v>0.3822031479999124</v>
      </c>
      <c r="L13" s="304">
        <f t="shared" ca="1" si="0"/>
        <v>0.38809861698371662</v>
      </c>
      <c r="M13" s="306">
        <f t="shared" ca="1" si="16"/>
        <v>1.3962634015954636</v>
      </c>
      <c r="N13" s="304">
        <f t="shared" ca="1" si="17"/>
        <v>80</v>
      </c>
      <c r="P13" s="310">
        <f t="shared" ca="1" si="18"/>
        <v>4</v>
      </c>
      <c r="Q13" s="304">
        <f t="shared" ca="1" si="19"/>
        <v>1266.432</v>
      </c>
      <c r="R13" s="306">
        <f t="shared" ca="1" si="20"/>
        <v>0.62236489067470235</v>
      </c>
      <c r="S13" s="307">
        <f t="shared" ca="1" si="21"/>
        <v>9.4823714823558234</v>
      </c>
      <c r="T13" s="304">
        <f t="shared" ca="1" si="1"/>
        <v>93.022064241910627</v>
      </c>
      <c r="U13" s="311">
        <f t="shared" ca="1" si="2"/>
        <v>16.153111938423912</v>
      </c>
      <c r="V13" s="306">
        <f t="shared" ca="1" si="3"/>
        <v>1.2249531810090883</v>
      </c>
      <c r="W13" s="304">
        <f t="shared" ca="1" si="4"/>
        <v>0.36124966622644927</v>
      </c>
      <c r="Y13" s="314" t="str">
        <f t="shared" ca="1" si="22"/>
        <v/>
      </c>
      <c r="Z13" s="315" t="str">
        <f t="shared" ca="1" si="23"/>
        <v/>
      </c>
      <c r="AA13" s="316" t="str">
        <f t="shared" ca="1" si="24"/>
        <v/>
      </c>
      <c r="AC13" s="310" t="e">
        <f t="shared" ca="1" si="25"/>
        <v>#N/A</v>
      </c>
      <c r="AD13" s="323" t="e">
        <f t="shared" ca="1" si="26"/>
        <v>#N/A</v>
      </c>
      <c r="AE13" s="324">
        <f t="shared" ca="1" si="5"/>
        <v>0.3822031479999124</v>
      </c>
      <c r="AG13" s="306">
        <f t="shared" ca="1" si="27"/>
        <v>123.86646252769049</v>
      </c>
      <c r="AH13" s="304">
        <f t="shared" ca="1" si="28"/>
        <v>133.52742658474025</v>
      </c>
    </row>
    <row r="14" spans="1:248" x14ac:dyDescent="0.3">
      <c r="A14" s="347">
        <f t="shared" ca="1" si="6"/>
        <v>0.01</v>
      </c>
      <c r="B14" s="304">
        <f t="shared" ca="1" si="7"/>
        <v>9.9999999999999992E-2</v>
      </c>
      <c r="D14" s="306">
        <f t="shared" ca="1" si="8"/>
        <v>21.681114352169772</v>
      </c>
      <c r="E14" s="307">
        <f t="shared" ca="1" si="9"/>
        <v>122.96619681686352</v>
      </c>
      <c r="F14" s="304">
        <f t="shared" ca="1" si="10"/>
        <v>124.86294998579633</v>
      </c>
      <c r="G14" s="306">
        <f t="shared" ca="1" si="11"/>
        <v>1.9107136968499836</v>
      </c>
      <c r="H14" s="307">
        <f t="shared" ca="1" si="12"/>
        <v>10.836772977980697</v>
      </c>
      <c r="I14" s="304">
        <f t="shared" ca="1" si="13"/>
        <v>11.003929998306186</v>
      </c>
      <c r="J14" s="306">
        <f t="shared" ca="1" si="14"/>
        <v>8.5412176538115739E-2</v>
      </c>
      <c r="K14" s="307">
        <f t="shared" ca="1" si="15"/>
        <v>0.48442256793887617</v>
      </c>
      <c r="L14" s="304">
        <f t="shared" ca="1" si="0"/>
        <v>0.49189476946748817</v>
      </c>
      <c r="M14" s="306">
        <f t="shared" ca="1" si="16"/>
        <v>1.3962634015954636</v>
      </c>
      <c r="N14" s="304">
        <f t="shared" ca="1" si="17"/>
        <v>80</v>
      </c>
      <c r="P14" s="310">
        <f t="shared" ca="1" si="18"/>
        <v>4</v>
      </c>
      <c r="Q14" s="304">
        <f t="shared" ca="1" si="19"/>
        <v>1275.124</v>
      </c>
      <c r="R14" s="306">
        <f t="shared" ca="1" si="20"/>
        <v>0.62663641542276971</v>
      </c>
      <c r="S14" s="307">
        <f t="shared" ca="1" si="21"/>
        <v>9.4761051182015965</v>
      </c>
      <c r="T14" s="304">
        <f t="shared" ca="1" si="1"/>
        <v>92.960591209557663</v>
      </c>
      <c r="U14" s="311">
        <f t="shared" ca="1" si="2"/>
        <v>16.142437258380159</v>
      </c>
      <c r="V14" s="306">
        <f t="shared" ca="1" si="3"/>
        <v>1.2249406596727175</v>
      </c>
      <c r="W14" s="304">
        <f t="shared" ca="1" si="4"/>
        <v>0.45963950633312611</v>
      </c>
      <c r="Y14" s="314" t="str">
        <f t="shared" ca="1" si="22"/>
        <v/>
      </c>
      <c r="Z14" s="315" t="str">
        <f t="shared" ca="1" si="23"/>
        <v/>
      </c>
      <c r="AA14" s="316" t="str">
        <f t="shared" ca="1" si="24"/>
        <v/>
      </c>
      <c r="AC14" s="310" t="e">
        <f t="shared" ca="1" si="25"/>
        <v>#N/A</v>
      </c>
      <c r="AD14" s="323" t="e">
        <f t="shared" ca="1" si="26"/>
        <v>#N/A</v>
      </c>
      <c r="AE14" s="324">
        <f t="shared" ca="1" si="5"/>
        <v>0.48442256793887617</v>
      </c>
      <c r="AG14" s="306">
        <f t="shared" ca="1" si="27"/>
        <v>124.86294998071492</v>
      </c>
      <c r="AH14" s="304">
        <f t="shared" ca="1" si="28"/>
        <v>134.52391403776468</v>
      </c>
    </row>
    <row r="15" spans="1:248" x14ac:dyDescent="0.3">
      <c r="A15" s="347">
        <f t="shared" ca="1" si="6"/>
        <v>0.01</v>
      </c>
      <c r="B15" s="304">
        <f t="shared" ca="1" si="7"/>
        <v>0.10999999999999999</v>
      </c>
      <c r="D15" s="306">
        <f t="shared" ca="1" si="8"/>
        <v>21.803792598411587</v>
      </c>
      <c r="E15" s="307">
        <f t="shared" ca="1" si="9"/>
        <v>123.66197428700468</v>
      </c>
      <c r="F15" s="304">
        <f t="shared" ca="1" si="10"/>
        <v>125.56945988668724</v>
      </c>
      <c r="G15" s="306">
        <f t="shared" ca="1" si="11"/>
        <v>2.1287516228340992</v>
      </c>
      <c r="H15" s="307">
        <f t="shared" ca="1" si="12"/>
        <v>12.073392720850745</v>
      </c>
      <c r="I15" s="304">
        <f t="shared" ca="1" si="13"/>
        <v>12.259624597173053</v>
      </c>
      <c r="J15" s="306">
        <f t="shared" ca="1" si="14"/>
        <v>0.10560950313653615</v>
      </c>
      <c r="K15" s="307">
        <f t="shared" ca="1" si="15"/>
        <v>0.59897339643303338</v>
      </c>
      <c r="L15" s="304">
        <f t="shared" ca="1" si="0"/>
        <v>0.60821254244488399</v>
      </c>
      <c r="M15" s="306">
        <f t="shared" ca="1" si="16"/>
        <v>1.3962634015954636</v>
      </c>
      <c r="N15" s="304">
        <f t="shared" ca="1" si="17"/>
        <v>80</v>
      </c>
      <c r="P15" s="310">
        <f t="shared" ca="1" si="18"/>
        <v>5</v>
      </c>
      <c r="Q15" s="304">
        <f t="shared" ca="1" si="19"/>
        <v>1281.066</v>
      </c>
      <c r="R15" s="306">
        <f t="shared" ca="1" si="20"/>
        <v>0.62955650286559262</v>
      </c>
      <c r="S15" s="307">
        <f t="shared" ca="1" si="21"/>
        <v>9.46980955317294</v>
      </c>
      <c r="T15" s="304">
        <f t="shared" ca="1" si="1"/>
        <v>92.898831716626546</v>
      </c>
      <c r="U15" s="311">
        <f t="shared" ca="1" si="2"/>
        <v>16.131712834979037</v>
      </c>
      <c r="V15" s="306">
        <f t="shared" ca="1" si="3"/>
        <v>1.224926627956332</v>
      </c>
      <c r="W15" s="304">
        <f t="shared" ca="1" si="4"/>
        <v>0.57052027174128772</v>
      </c>
      <c r="Y15" s="314" t="str">
        <f t="shared" ca="1" si="22"/>
        <v/>
      </c>
      <c r="Z15" s="315" t="str">
        <f t="shared" ca="1" si="23"/>
        <v/>
      </c>
      <c r="AA15" s="316" t="str">
        <f t="shared" ca="1" si="24"/>
        <v/>
      </c>
      <c r="AC15" s="310" t="e">
        <f t="shared" ca="1" si="25"/>
        <v>#N/A</v>
      </c>
      <c r="AD15" s="323" t="e">
        <f t="shared" ca="1" si="26"/>
        <v>#N/A</v>
      </c>
      <c r="AE15" s="324">
        <f t="shared" ca="1" si="5"/>
        <v>0.59897339643303338</v>
      </c>
      <c r="AG15" s="306">
        <f t="shared" ca="1" si="27"/>
        <v>125.56945988158043</v>
      </c>
      <c r="AH15" s="304">
        <f t="shared" ca="1" si="28"/>
        <v>135.2304239386302</v>
      </c>
    </row>
    <row r="16" spans="1:248" x14ac:dyDescent="0.3">
      <c r="A16" s="347">
        <f t="shared" ca="1" si="6"/>
        <v>0.01</v>
      </c>
      <c r="B16" s="304">
        <f t="shared" ca="1" si="7"/>
        <v>0.11999999999999998</v>
      </c>
      <c r="D16" s="306">
        <f t="shared" ca="1" si="8"/>
        <v>21.875985928319199</v>
      </c>
      <c r="E16" s="307">
        <f t="shared" ca="1" si="9"/>
        <v>124.07142361663196</v>
      </c>
      <c r="F16" s="304">
        <f t="shared" ca="1" si="10"/>
        <v>125.98522500116337</v>
      </c>
      <c r="G16" s="306">
        <f t="shared" ca="1" si="11"/>
        <v>2.3475114821172913</v>
      </c>
      <c r="H16" s="307">
        <f t="shared" ca="1" si="12"/>
        <v>13.314106957017064</v>
      </c>
      <c r="I16" s="304">
        <f t="shared" ca="1" si="13"/>
        <v>13.519476847184682</v>
      </c>
      <c r="J16" s="306">
        <f t="shared" ca="1" si="14"/>
        <v>0.12799081866129311</v>
      </c>
      <c r="K16" s="307">
        <f t="shared" ca="1" si="15"/>
        <v>0.72591089482237248</v>
      </c>
      <c r="L16" s="304">
        <f t="shared" ca="1" si="0"/>
        <v>0.73710804966667243</v>
      </c>
      <c r="M16" s="306">
        <f t="shared" ca="1" si="16"/>
        <v>1.3962634015954636</v>
      </c>
      <c r="N16" s="304">
        <f t="shared" ca="1" si="17"/>
        <v>80</v>
      </c>
      <c r="P16" s="310">
        <f t="shared" ca="1" si="18"/>
        <v>5</v>
      </c>
      <c r="Q16" s="304">
        <f t="shared" ca="1" si="19"/>
        <v>1284.258</v>
      </c>
      <c r="R16" s="306">
        <f t="shared" ca="1" si="20"/>
        <v>0.63112515300317107</v>
      </c>
      <c r="S16" s="307">
        <f t="shared" ca="1" si="21"/>
        <v>9.4634983016429075</v>
      </c>
      <c r="T16" s="304">
        <f t="shared" ca="1" si="1"/>
        <v>92.836918339116934</v>
      </c>
      <c r="U16" s="311">
        <f t="shared" ca="1" si="2"/>
        <v>16.120961689801288</v>
      </c>
      <c r="V16" s="306">
        <f t="shared" ca="1" si="3"/>
        <v>1.2249110791428151</v>
      </c>
      <c r="W16" s="304">
        <f t="shared" ca="1" si="4"/>
        <v>0.69379473000101399</v>
      </c>
      <c r="Y16" s="314" t="str">
        <f t="shared" ca="1" si="22"/>
        <v/>
      </c>
      <c r="Z16" s="315" t="str">
        <f t="shared" ca="1" si="23"/>
        <v/>
      </c>
      <c r="AA16" s="316" t="str">
        <f t="shared" ca="1" si="24"/>
        <v/>
      </c>
      <c r="AC16" s="310" t="e">
        <f t="shared" ca="1" si="25"/>
        <v>#N/A</v>
      </c>
      <c r="AD16" s="323" t="e">
        <f t="shared" ca="1" si="26"/>
        <v>#N/A</v>
      </c>
      <c r="AE16" s="324">
        <f t="shared" ca="1" si="5"/>
        <v>0.72591089482237248</v>
      </c>
      <c r="AG16" s="306">
        <f t="shared" ca="1" si="27"/>
        <v>125.98522499604115</v>
      </c>
      <c r="AH16" s="304">
        <f t="shared" ca="1" si="28"/>
        <v>135.64618905309092</v>
      </c>
    </row>
    <row r="17" spans="1:34" x14ac:dyDescent="0.3">
      <c r="A17" s="347">
        <f t="shared" ca="1" si="6"/>
        <v>0.01</v>
      </c>
      <c r="B17" s="304">
        <f t="shared" ca="1" si="7"/>
        <v>0.12999999999999998</v>
      </c>
      <c r="D17" s="306">
        <f t="shared" ca="1" si="8"/>
        <v>21.948087235394599</v>
      </c>
      <c r="E17" s="307">
        <f t="shared" ca="1" si="9"/>
        <v>124.48035109723821</v>
      </c>
      <c r="F17" s="304">
        <f t="shared" ca="1" si="10"/>
        <v>126.40046021508064</v>
      </c>
      <c r="G17" s="306">
        <f t="shared" ca="1" si="11"/>
        <v>2.5669923544712372</v>
      </c>
      <c r="H17" s="307">
        <f t="shared" ca="1" si="12"/>
        <v>14.558910467989445</v>
      </c>
      <c r="I17" s="304">
        <f t="shared" ca="1" si="13"/>
        <v>14.783481449335486</v>
      </c>
      <c r="J17" s="306">
        <f t="shared" ca="1" si="14"/>
        <v>0.15256333784423576</v>
      </c>
      <c r="K17" s="307">
        <f t="shared" ca="1" si="15"/>
        <v>0.86527598194740496</v>
      </c>
      <c r="L17" s="304">
        <f t="shared" ca="1" si="0"/>
        <v>0.8786228411492728</v>
      </c>
      <c r="M17" s="306">
        <f t="shared" ca="1" si="16"/>
        <v>1.3962634015954636</v>
      </c>
      <c r="N17" s="304">
        <f t="shared" ca="1" si="17"/>
        <v>80</v>
      </c>
      <c r="P17" s="310">
        <f t="shared" ca="1" si="18"/>
        <v>5</v>
      </c>
      <c r="Q17" s="304">
        <f t="shared" ca="1" si="19"/>
        <v>1287.45</v>
      </c>
      <c r="R17" s="306">
        <f t="shared" ca="1" si="20"/>
        <v>0.63269380314074941</v>
      </c>
      <c r="S17" s="307">
        <f t="shared" ca="1" si="21"/>
        <v>9.4571713636115007</v>
      </c>
      <c r="T17" s="304">
        <f t="shared" ca="1" si="1"/>
        <v>92.774851077028828</v>
      </c>
      <c r="U17" s="311">
        <f t="shared" ca="1" si="2"/>
        <v>16.110183822846913</v>
      </c>
      <c r="V17" s="306">
        <f t="shared" ca="1" si="3"/>
        <v>1.2248940082778159</v>
      </c>
      <c r="W17" s="304">
        <f t="shared" ca="1" si="4"/>
        <v>0.8295806483860928</v>
      </c>
      <c r="Y17" s="314" t="str">
        <f t="shared" ca="1" si="22"/>
        <v/>
      </c>
      <c r="Z17" s="315" t="str">
        <f t="shared" ca="1" si="23"/>
        <v/>
      </c>
      <c r="AA17" s="316" t="str">
        <f t="shared" ca="1" si="24"/>
        <v/>
      </c>
      <c r="AC17" s="310" t="e">
        <f t="shared" ca="1" si="25"/>
        <v>#N/A</v>
      </c>
      <c r="AD17" s="323" t="e">
        <f t="shared" ca="1" si="26"/>
        <v>#N/A</v>
      </c>
      <c r="AE17" s="324">
        <f t="shared" ca="1" si="5"/>
        <v>0.86527598194740496</v>
      </c>
      <c r="AG17" s="306">
        <f t="shared" ca="1" si="27"/>
        <v>126.40046020994302</v>
      </c>
      <c r="AH17" s="304">
        <f t="shared" ca="1" si="28"/>
        <v>136.06142426699279</v>
      </c>
    </row>
    <row r="18" spans="1:34" x14ac:dyDescent="0.3">
      <c r="A18" s="347">
        <f t="shared" ca="1" si="6"/>
        <v>0.01</v>
      </c>
      <c r="B18" s="304">
        <f t="shared" ca="1" si="7"/>
        <v>0.13999999999999999</v>
      </c>
      <c r="D18" s="306">
        <f t="shared" ca="1" si="8"/>
        <v>22.020094530003895</v>
      </c>
      <c r="E18" s="307">
        <f t="shared" ca="1" si="9"/>
        <v>124.88874544522906</v>
      </c>
      <c r="F18" s="304">
        <f t="shared" ca="1" si="10"/>
        <v>126.81515407077156</v>
      </c>
      <c r="G18" s="306">
        <f t="shared" ca="1" si="11"/>
        <v>2.7871932997712761</v>
      </c>
      <c r="H18" s="307">
        <f t="shared" ca="1" si="12"/>
        <v>15.807797922441736</v>
      </c>
      <c r="I18" s="304">
        <f t="shared" ca="1" si="13"/>
        <v>16.051632990043199</v>
      </c>
      <c r="J18" s="306">
        <f t="shared" ca="1" si="14"/>
        <v>0.17933426611544834</v>
      </c>
      <c r="K18" s="307">
        <f t="shared" ca="1" si="15"/>
        <v>1.0171095238995609</v>
      </c>
      <c r="L18" s="304">
        <f t="shared" ca="1" si="0"/>
        <v>1.0327984133461658</v>
      </c>
      <c r="M18" s="306">
        <f t="shared" ca="1" si="16"/>
        <v>1.3962634015954636</v>
      </c>
      <c r="N18" s="304">
        <f t="shared" ca="1" si="17"/>
        <v>80</v>
      </c>
      <c r="P18" s="310">
        <f t="shared" ca="1" si="18"/>
        <v>5</v>
      </c>
      <c r="Q18" s="304">
        <f t="shared" ca="1" si="19"/>
        <v>1290.6420000000001</v>
      </c>
      <c r="R18" s="306">
        <f t="shared" ca="1" si="20"/>
        <v>0.63426245327832775</v>
      </c>
      <c r="S18" s="307">
        <f t="shared" ca="1" si="21"/>
        <v>9.4508287390787178</v>
      </c>
      <c r="T18" s="304">
        <f t="shared" ca="1" si="1"/>
        <v>92.712629930362226</v>
      </c>
      <c r="U18" s="311">
        <f t="shared" ca="1" si="2"/>
        <v>16.099379234115911</v>
      </c>
      <c r="V18" s="306">
        <f t="shared" ca="1" si="3"/>
        <v>1.2248754104193851</v>
      </c>
      <c r="W18" s="304">
        <f t="shared" ca="1" si="4"/>
        <v>0.97799586811101857</v>
      </c>
      <c r="Y18" s="314" t="str">
        <f t="shared" ca="1" si="22"/>
        <v/>
      </c>
      <c r="Z18" s="315" t="str">
        <f t="shared" ca="1" si="23"/>
        <v/>
      </c>
      <c r="AA18" s="316" t="str">
        <f t="shared" ca="1" si="24"/>
        <v/>
      </c>
      <c r="AC18" s="310" t="e">
        <f t="shared" ca="1" si="25"/>
        <v>#N/A</v>
      </c>
      <c r="AD18" s="323" t="e">
        <f t="shared" ca="1" si="26"/>
        <v>#N/A</v>
      </c>
      <c r="AE18" s="324">
        <f t="shared" ca="1" si="5"/>
        <v>1.0171095238995609</v>
      </c>
      <c r="AG18" s="306">
        <f t="shared" ca="1" si="27"/>
        <v>126.81515406561837</v>
      </c>
      <c r="AH18" s="304">
        <f t="shared" ca="1" si="28"/>
        <v>136.47611812266814</v>
      </c>
    </row>
    <row r="19" spans="1:34" x14ac:dyDescent="0.3">
      <c r="A19" s="347">
        <f t="shared" ca="1" si="6"/>
        <v>0.01</v>
      </c>
      <c r="B19" s="304">
        <f t="shared" ca="1" si="7"/>
        <v>0.15</v>
      </c>
      <c r="D19" s="306">
        <f t="shared" ca="1" si="8"/>
        <v>22.09200581487876</v>
      </c>
      <c r="E19" s="307">
        <f t="shared" ca="1" si="9"/>
        <v>125.29659533371353</v>
      </c>
      <c r="F19" s="304">
        <f t="shared" ca="1" si="10"/>
        <v>127.22929506660405</v>
      </c>
      <c r="G19" s="306">
        <f t="shared" ca="1" si="11"/>
        <v>3.0081133579200636</v>
      </c>
      <c r="H19" s="307">
        <f t="shared" ca="1" si="12"/>
        <v>17.060763875778871</v>
      </c>
      <c r="I19" s="304">
        <f t="shared" ca="1" si="13"/>
        <v>17.323925940709238</v>
      </c>
      <c r="J19" s="306">
        <f t="shared" ca="1" si="14"/>
        <v>0.20831079940390504</v>
      </c>
      <c r="K19" s="307">
        <f t="shared" ca="1" si="15"/>
        <v>1.1814523328906639</v>
      </c>
      <c r="L19" s="304">
        <f t="shared" ca="1" si="0"/>
        <v>1.1996762079999279</v>
      </c>
      <c r="M19" s="306">
        <f t="shared" ca="1" si="16"/>
        <v>1.3962634015954636</v>
      </c>
      <c r="N19" s="304">
        <f t="shared" ca="1" si="17"/>
        <v>80</v>
      </c>
      <c r="P19" s="310">
        <f t="shared" ca="1" si="18"/>
        <v>5</v>
      </c>
      <c r="Q19" s="304">
        <f t="shared" ca="1" si="19"/>
        <v>1293.8340000000001</v>
      </c>
      <c r="R19" s="306">
        <f t="shared" ca="1" si="20"/>
        <v>0.6358311034159061</v>
      </c>
      <c r="S19" s="307">
        <f t="shared" ca="1" si="21"/>
        <v>9.4444704280445588</v>
      </c>
      <c r="T19" s="304">
        <f t="shared" ca="1" si="1"/>
        <v>92.65025489911713</v>
      </c>
      <c r="U19" s="311">
        <f t="shared" ca="1" si="2"/>
        <v>16.088547923608282</v>
      </c>
      <c r="V19" s="306">
        <f t="shared" ca="1" si="3"/>
        <v>1.2248552806381723</v>
      </c>
      <c r="W19" s="304">
        <f t="shared" ca="1" si="4"/>
        <v>1.139158295078613</v>
      </c>
      <c r="Y19" s="314" t="str">
        <f t="shared" ca="1" si="22"/>
        <v/>
      </c>
      <c r="Z19" s="315" t="str">
        <f t="shared" ca="1" si="23"/>
        <v/>
      </c>
      <c r="AA19" s="316" t="str">
        <f t="shared" ca="1" si="24"/>
        <v/>
      </c>
      <c r="AC19" s="310" t="e">
        <f t="shared" ca="1" si="25"/>
        <v>#N/A</v>
      </c>
      <c r="AD19" s="323" t="e">
        <f t="shared" ca="1" si="26"/>
        <v>#N/A</v>
      </c>
      <c r="AE19" s="324">
        <f t="shared" ca="1" si="5"/>
        <v>1.1814523328906639</v>
      </c>
      <c r="AG19" s="306">
        <f t="shared" ca="1" si="27"/>
        <v>127.22929506143527</v>
      </c>
      <c r="AH19" s="304">
        <f t="shared" ca="1" si="28"/>
        <v>136.89025911848503</v>
      </c>
    </row>
    <row r="20" spans="1:34" x14ac:dyDescent="0.3">
      <c r="A20" s="347">
        <f t="shared" ca="1" si="6"/>
        <v>0.01</v>
      </c>
      <c r="B20" s="304">
        <f t="shared" ca="1" si="7"/>
        <v>0.16</v>
      </c>
      <c r="D20" s="306">
        <f t="shared" ca="1" si="8"/>
        <v>22.163819085227733</v>
      </c>
      <c r="E20" s="307">
        <f t="shared" ca="1" si="9"/>
        <v>125.70388939313608</v>
      </c>
      <c r="F20" s="304">
        <f t="shared" ca="1" si="10"/>
        <v>127.6428716576233</v>
      </c>
      <c r="G20" s="306">
        <f t="shared" ca="1" si="11"/>
        <v>3.2297515487723407</v>
      </c>
      <c r="H20" s="307">
        <f t="shared" ca="1" si="12"/>
        <v>18.317802769710234</v>
      </c>
      <c r="I20" s="304">
        <f t="shared" ca="1" si="13"/>
        <v>18.600354657285468</v>
      </c>
      <c r="J20" s="306">
        <f t="shared" ca="1" si="14"/>
        <v>0.23950012393736705</v>
      </c>
      <c r="K20" s="307">
        <f t="shared" ca="1" si="15"/>
        <v>1.3583451661181094</v>
      </c>
      <c r="L20" s="304">
        <f t="shared" ca="1" si="0"/>
        <v>1.3792976109899011</v>
      </c>
      <c r="M20" s="306">
        <f t="shared" ca="1" si="16"/>
        <v>1.3962634015954636</v>
      </c>
      <c r="N20" s="304">
        <f t="shared" ca="1" si="17"/>
        <v>80</v>
      </c>
      <c r="P20" s="310">
        <f t="shared" ca="1" si="18"/>
        <v>5</v>
      </c>
      <c r="Q20" s="304">
        <f t="shared" ca="1" si="19"/>
        <v>1297.0260000000001</v>
      </c>
      <c r="R20" s="306">
        <f t="shared" ca="1" si="20"/>
        <v>0.63739975355348455</v>
      </c>
      <c r="S20" s="307">
        <f t="shared" ca="1" si="21"/>
        <v>9.4380964305090238</v>
      </c>
      <c r="T20" s="304">
        <f t="shared" ca="1" si="1"/>
        <v>92.587725983293524</v>
      </c>
      <c r="U20" s="311">
        <f t="shared" ca="1" si="2"/>
        <v>16.077689891324024</v>
      </c>
      <c r="V20" s="306">
        <f t="shared" ca="1" si="3"/>
        <v>1.2248336140176304</v>
      </c>
      <c r="W20" s="304">
        <f t="shared" ca="1" si="4"/>
        <v>1.3131858905411511</v>
      </c>
      <c r="Y20" s="314" t="str">
        <f t="shared" ca="1" si="22"/>
        <v/>
      </c>
      <c r="Z20" s="315" t="str">
        <f t="shared" ca="1" si="23"/>
        <v/>
      </c>
      <c r="AA20" s="316" t="str">
        <f t="shared" ca="1" si="24"/>
        <v/>
      </c>
      <c r="AC20" s="310" t="e">
        <f t="shared" ca="1" si="25"/>
        <v>#N/A</v>
      </c>
      <c r="AD20" s="323" t="e">
        <f t="shared" ca="1" si="26"/>
        <v>#N/A</v>
      </c>
      <c r="AE20" s="324">
        <f t="shared" ca="1" si="5"/>
        <v>1.3583451661181094</v>
      </c>
      <c r="AG20" s="306">
        <f t="shared" ca="1" si="27"/>
        <v>127.6428716524388</v>
      </c>
      <c r="AH20" s="304">
        <f t="shared" ca="1" si="28"/>
        <v>137.30383570948857</v>
      </c>
    </row>
    <row r="21" spans="1:34" x14ac:dyDescent="0.3">
      <c r="A21" s="347">
        <f t="shared" ca="1" si="6"/>
        <v>0.01</v>
      </c>
      <c r="B21" s="304">
        <f t="shared" ca="1" si="7"/>
        <v>0.17</v>
      </c>
      <c r="D21" s="306">
        <f t="shared" ca="1" si="8"/>
        <v>22.235532328849501</v>
      </c>
      <c r="E21" s="307">
        <f t="shared" ca="1" si="9"/>
        <v>126.11061621191845</v>
      </c>
      <c r="F21" s="304">
        <f t="shared" ca="1" si="10"/>
        <v>128.05587225620349</v>
      </c>
      <c r="G21" s="306">
        <f t="shared" ca="1" si="11"/>
        <v>3.4521068720608357</v>
      </c>
      <c r="H21" s="307">
        <f t="shared" ca="1" si="12"/>
        <v>19.578908931829417</v>
      </c>
      <c r="I21" s="304">
        <f t="shared" ca="1" si="13"/>
        <v>19.880913379847502</v>
      </c>
      <c r="J21" s="306">
        <f t="shared" ca="1" si="14"/>
        <v>0.27290941604153296</v>
      </c>
      <c r="K21" s="307">
        <f t="shared" ca="1" si="15"/>
        <v>1.5478287246258078</v>
      </c>
      <c r="L21" s="304">
        <f t="shared" ca="1" si="0"/>
        <v>1.5717039511755657</v>
      </c>
      <c r="M21" s="306">
        <f t="shared" ca="1" si="16"/>
        <v>1.3962634015954636</v>
      </c>
      <c r="N21" s="304">
        <f t="shared" ca="1" si="17"/>
        <v>80</v>
      </c>
      <c r="P21" s="310">
        <f t="shared" ca="1" si="18"/>
        <v>5</v>
      </c>
      <c r="Q21" s="304">
        <f t="shared" ca="1" si="19"/>
        <v>1300.2180000000001</v>
      </c>
      <c r="R21" s="306">
        <f t="shared" ca="1" si="20"/>
        <v>0.63896840369106289</v>
      </c>
      <c r="S21" s="307">
        <f t="shared" ca="1" si="21"/>
        <v>9.4317067464721127</v>
      </c>
      <c r="T21" s="304">
        <f t="shared" ca="1" si="1"/>
        <v>92.525043182891437</v>
      </c>
      <c r="U21" s="311">
        <f t="shared" ca="1" si="2"/>
        <v>16.066805137263142</v>
      </c>
      <c r="V21" s="306">
        <f t="shared" ca="1" si="3"/>
        <v>1.2248104056542122</v>
      </c>
      <c r="W21" s="304">
        <f t="shared" ca="1" si="4"/>
        <v>1.50019666167558</v>
      </c>
      <c r="Y21" s="314" t="str">
        <f t="shared" ca="1" si="22"/>
        <v/>
      </c>
      <c r="Z21" s="315" t="str">
        <f t="shared" ca="1" si="23"/>
        <v/>
      </c>
      <c r="AA21" s="316" t="str">
        <f t="shared" ca="1" si="24"/>
        <v/>
      </c>
      <c r="AC21" s="310" t="e">
        <f t="shared" ca="1" si="25"/>
        <v>#N/A</v>
      </c>
      <c r="AD21" s="323" t="e">
        <f t="shared" ca="1" si="26"/>
        <v>#N/A</v>
      </c>
      <c r="AE21" s="324">
        <f t="shared" ca="1" si="5"/>
        <v>1.5478287246258078</v>
      </c>
      <c r="AG21" s="306">
        <f t="shared" ca="1" si="27"/>
        <v>128.05587225100319</v>
      </c>
      <c r="AH21" s="304">
        <f t="shared" ca="1" si="28"/>
        <v>137.71683630805296</v>
      </c>
    </row>
    <row r="22" spans="1:34" x14ac:dyDescent="0.3">
      <c r="A22" s="347">
        <f t="shared" ca="1" si="6"/>
        <v>0.01</v>
      </c>
      <c r="B22" s="304">
        <f t="shared" ca="1" si="7"/>
        <v>0.18000000000000002</v>
      </c>
      <c r="D22" s="306">
        <f t="shared" ca="1" si="8"/>
        <v>22.307143526248009</v>
      </c>
      <c r="E22" s="307">
        <f t="shared" ca="1" si="9"/>
        <v>126.51676433711287</v>
      </c>
      <c r="F22" s="304">
        <f t="shared" ca="1" si="10"/>
        <v>128.46828523271097</v>
      </c>
      <c r="G22" s="306">
        <f t="shared" ca="1" si="11"/>
        <v>3.675178307323316</v>
      </c>
      <c r="H22" s="307">
        <f t="shared" ca="1" si="12"/>
        <v>20.844076575200546</v>
      </c>
      <c r="I22" s="304">
        <f t="shared" ca="1" si="13"/>
        <v>21.165596232174611</v>
      </c>
      <c r="J22" s="306">
        <f t="shared" ca="1" si="14"/>
        <v>0.30854584193845369</v>
      </c>
      <c r="K22" s="307">
        <f t="shared" ca="1" si="15"/>
        <v>1.7499436521609577</v>
      </c>
      <c r="L22" s="304">
        <f t="shared" ca="1" si="0"/>
        <v>1.7769364992356762</v>
      </c>
      <c r="M22" s="306">
        <f t="shared" ca="1" si="16"/>
        <v>1.3962634015954636</v>
      </c>
      <c r="N22" s="304">
        <f t="shared" ca="1" si="17"/>
        <v>80</v>
      </c>
      <c r="P22" s="310">
        <f t="shared" ca="1" si="18"/>
        <v>5</v>
      </c>
      <c r="Q22" s="304">
        <f t="shared" ca="1" si="19"/>
        <v>1303.4100000000001</v>
      </c>
      <c r="R22" s="306">
        <f t="shared" ca="1" si="20"/>
        <v>0.64053705382864123</v>
      </c>
      <c r="S22" s="307">
        <f t="shared" ca="1" si="21"/>
        <v>9.4253013759338256</v>
      </c>
      <c r="T22" s="304">
        <f t="shared" ca="1" si="1"/>
        <v>92.462206497910827</v>
      </c>
      <c r="U22" s="311">
        <f t="shared" ca="1" si="2"/>
        <v>16.055893661425628</v>
      </c>
      <c r="V22" s="306">
        <f t="shared" ca="1" si="3"/>
        <v>1.2247856506575738</v>
      </c>
      <c r="W22" s="304">
        <f t="shared" ca="1" si="4"/>
        <v>1.7003086520734598</v>
      </c>
      <c r="Y22" s="314" t="str">
        <f t="shared" ca="1" si="22"/>
        <v/>
      </c>
      <c r="Z22" s="315" t="str">
        <f t="shared" ca="1" si="23"/>
        <v/>
      </c>
      <c r="AA22" s="316" t="str">
        <f t="shared" ca="1" si="24"/>
        <v/>
      </c>
      <c r="AC22" s="310" t="e">
        <f t="shared" ca="1" si="25"/>
        <v>#N/A</v>
      </c>
      <c r="AD22" s="323" t="e">
        <f t="shared" ca="1" si="26"/>
        <v>#N/A</v>
      </c>
      <c r="AE22" s="324">
        <f t="shared" ca="1" si="5"/>
        <v>1.7499436521609577</v>
      </c>
      <c r="AG22" s="306">
        <f t="shared" ca="1" si="27"/>
        <v>128.46828522749482</v>
      </c>
      <c r="AH22" s="304">
        <f t="shared" ca="1" si="28"/>
        <v>138.12924928454458</v>
      </c>
    </row>
    <row r="23" spans="1:34" x14ac:dyDescent="0.3">
      <c r="A23" s="347">
        <f t="shared" ca="1" si="6"/>
        <v>0.01</v>
      </c>
      <c r="B23" s="304">
        <f t="shared" ca="1" si="7"/>
        <v>0.19000000000000003</v>
      </c>
      <c r="D23" s="306">
        <f t="shared" ca="1" si="8"/>
        <v>22.378650650749361</v>
      </c>
      <c r="E23" s="307">
        <f t="shared" ca="1" si="9"/>
        <v>126.92232227506477</v>
      </c>
      <c r="F23" s="304">
        <f t="shared" ca="1" si="10"/>
        <v>128.88009891617747</v>
      </c>
      <c r="G23" s="306">
        <f t="shared" ca="1" si="11"/>
        <v>3.8989648138308097</v>
      </c>
      <c r="H23" s="307">
        <f t="shared" ca="1" si="12"/>
        <v>22.113299797951193</v>
      </c>
      <c r="I23" s="304">
        <f t="shared" ca="1" si="13"/>
        <v>22.454397221336382</v>
      </c>
      <c r="J23" s="306">
        <f t="shared" ca="1" si="14"/>
        <v>0.34641655754422435</v>
      </c>
      <c r="K23" s="307">
        <f t="shared" ca="1" si="15"/>
        <v>1.9647305340267165</v>
      </c>
      <c r="L23" s="304">
        <f t="shared" ca="1" si="0"/>
        <v>1.995036466503231</v>
      </c>
      <c r="M23" s="306">
        <f t="shared" ca="1" si="16"/>
        <v>1.3962634015954636</v>
      </c>
      <c r="N23" s="304">
        <f t="shared" ca="1" si="17"/>
        <v>80</v>
      </c>
      <c r="P23" s="310">
        <f t="shared" ca="1" si="18"/>
        <v>5</v>
      </c>
      <c r="Q23" s="304">
        <f t="shared" ca="1" si="19"/>
        <v>1306.6020000000001</v>
      </c>
      <c r="R23" s="306">
        <f t="shared" ca="1" si="20"/>
        <v>0.64210570396621969</v>
      </c>
      <c r="S23" s="307">
        <f t="shared" ca="1" si="21"/>
        <v>9.4188803188941641</v>
      </c>
      <c r="T23" s="304">
        <f t="shared" ca="1" si="1"/>
        <v>92.399215928351751</v>
      </c>
      <c r="U23" s="311">
        <f t="shared" ca="1" si="2"/>
        <v>16.04495546381149</v>
      </c>
      <c r="V23" s="306">
        <f t="shared" ca="1" si="3"/>
        <v>1.2247593441507767</v>
      </c>
      <c r="W23" s="304">
        <f t="shared" ca="1" si="4"/>
        <v>1.9136399321462694</v>
      </c>
      <c r="Y23" s="314" t="str">
        <f t="shared" ca="1" si="22"/>
        <v/>
      </c>
      <c r="Z23" s="315" t="str">
        <f t="shared" ca="1" si="23"/>
        <v/>
      </c>
      <c r="AA23" s="316" t="str">
        <f t="shared" ca="1" si="24"/>
        <v/>
      </c>
      <c r="AC23" s="310" t="e">
        <f t="shared" ca="1" si="25"/>
        <v>#N/A</v>
      </c>
      <c r="AD23" s="323" t="e">
        <f t="shared" ca="1" si="26"/>
        <v>#N/A</v>
      </c>
      <c r="AE23" s="324">
        <f t="shared" ca="1" si="5"/>
        <v>1.9647305340267165</v>
      </c>
      <c r="AG23" s="306">
        <f t="shared" ca="1" si="27"/>
        <v>128.88009891094538</v>
      </c>
      <c r="AH23" s="304">
        <f t="shared" ca="1" si="28"/>
        <v>138.54106296799515</v>
      </c>
    </row>
    <row r="24" spans="1:34" x14ac:dyDescent="0.3">
      <c r="A24" s="347">
        <f t="shared" ca="1" si="6"/>
        <v>0.01</v>
      </c>
      <c r="B24" s="304">
        <f t="shared" ca="1" si="7"/>
        <v>0.20000000000000004</v>
      </c>
      <c r="D24" s="306">
        <f t="shared" ca="1" si="8"/>
        <v>22.450051668620681</v>
      </c>
      <c r="E24" s="307">
        <f t="shared" ca="1" si="9"/>
        <v>127.3272784920872</v>
      </c>
      <c r="F24" s="304">
        <f t="shared" ca="1" si="10"/>
        <v>129.29130159498462</v>
      </c>
      <c r="G24" s="306">
        <f t="shared" ca="1" si="11"/>
        <v>4.1234653305170168</v>
      </c>
      <c r="H24" s="307">
        <f t="shared" ca="1" si="12"/>
        <v>23.386572582872066</v>
      </c>
      <c r="I24" s="304">
        <f t="shared" ca="1" si="13"/>
        <v>23.747310237286225</v>
      </c>
      <c r="J24" s="306">
        <f t="shared" ca="1" si="14"/>
        <v>0.38652870826596347</v>
      </c>
      <c r="K24" s="307">
        <f t="shared" ca="1" si="15"/>
        <v>2.1922298959308328</v>
      </c>
      <c r="L24" s="304">
        <f t="shared" ca="1" si="0"/>
        <v>2.2260450037963437</v>
      </c>
      <c r="M24" s="306">
        <f t="shared" ca="1" si="16"/>
        <v>1.3962634015954636</v>
      </c>
      <c r="N24" s="304">
        <f t="shared" ca="1" si="17"/>
        <v>80</v>
      </c>
      <c r="P24" s="310">
        <f t="shared" ca="1" si="18"/>
        <v>5</v>
      </c>
      <c r="Q24" s="304">
        <f t="shared" ca="1" si="19"/>
        <v>1309.7940000000001</v>
      </c>
      <c r="R24" s="306">
        <f t="shared" ca="1" si="20"/>
        <v>0.64367435410379803</v>
      </c>
      <c r="S24" s="307">
        <f t="shared" ca="1" si="21"/>
        <v>9.4124435753531266</v>
      </c>
      <c r="T24" s="304">
        <f t="shared" ca="1" si="1"/>
        <v>92.336071474214179</v>
      </c>
      <c r="U24" s="311">
        <f t="shared" ca="1" si="2"/>
        <v>16.033990544420728</v>
      </c>
      <c r="V24" s="306">
        <f t="shared" ca="1" si="3"/>
        <v>1.2247314812704877</v>
      </c>
      <c r="W24" s="304">
        <f t="shared" ca="1" si="4"/>
        <v>2.1403085894467377</v>
      </c>
      <c r="Y24" s="314" t="str">
        <f t="shared" ca="1" si="22"/>
        <v/>
      </c>
      <c r="Z24" s="315" t="str">
        <f t="shared" ca="1" si="23"/>
        <v/>
      </c>
      <c r="AA24" s="316" t="str">
        <f t="shared" ca="1" si="24"/>
        <v/>
      </c>
      <c r="AC24" s="310" t="e">
        <f t="shared" ca="1" si="25"/>
        <v>#N/A</v>
      </c>
      <c r="AD24" s="323" t="e">
        <f t="shared" ca="1" si="26"/>
        <v>#N/A</v>
      </c>
      <c r="AE24" s="324">
        <f t="shared" ca="1" si="5"/>
        <v>2.1922298959308328</v>
      </c>
      <c r="AG24" s="306">
        <f t="shared" ca="1" si="27"/>
        <v>129.29130158973643</v>
      </c>
      <c r="AH24" s="304">
        <f t="shared" ca="1" si="28"/>
        <v>138.9522656467862</v>
      </c>
    </row>
    <row r="25" spans="1:34" x14ac:dyDescent="0.3">
      <c r="A25" s="347">
        <f t="shared" ca="1" si="6"/>
        <v>0.01</v>
      </c>
      <c r="B25" s="304">
        <f t="shared" ca="1" si="7"/>
        <v>0.21000000000000005</v>
      </c>
      <c r="D25" s="306">
        <f t="shared" ca="1" si="8"/>
        <v>22.501097912039693</v>
      </c>
      <c r="E25" s="307">
        <f t="shared" ca="1" si="9"/>
        <v>127.616791465387</v>
      </c>
      <c r="F25" s="304">
        <f t="shared" ca="1" si="10"/>
        <v>129.5852803028464</v>
      </c>
      <c r="G25" s="306">
        <f t="shared" ca="1" si="11"/>
        <v>4.3484763096374142</v>
      </c>
      <c r="H25" s="307">
        <f t="shared" ca="1" si="12"/>
        <v>24.662740497525938</v>
      </c>
      <c r="I25" s="304">
        <f t="shared" ca="1" si="13"/>
        <v>25.043163040314692</v>
      </c>
      <c r="J25" s="306">
        <f t="shared" ca="1" si="14"/>
        <v>0.42888841646673564</v>
      </c>
      <c r="K25" s="307">
        <f t="shared" ca="1" si="15"/>
        <v>2.4324764613328229</v>
      </c>
      <c r="L25" s="304">
        <f t="shared" ca="1" si="0"/>
        <v>2.4699973701843483</v>
      </c>
      <c r="M25" s="306">
        <f t="shared" ca="1" si="16"/>
        <v>1.3962634015954636</v>
      </c>
      <c r="N25" s="304">
        <f t="shared" ca="1" si="17"/>
        <v>80</v>
      </c>
      <c r="P25" s="310">
        <f t="shared" ca="1" si="18"/>
        <v>6</v>
      </c>
      <c r="Q25" s="304">
        <f t="shared" ca="1" si="19"/>
        <v>1311.89</v>
      </c>
      <c r="R25" s="306">
        <f t="shared" ca="1" si="20"/>
        <v>0.64470439504626798</v>
      </c>
      <c r="S25" s="307">
        <f t="shared" ca="1" si="21"/>
        <v>9.4059965314026641</v>
      </c>
      <c r="T25" s="304">
        <f t="shared" ca="1" si="1"/>
        <v>92.272825973060137</v>
      </c>
      <c r="U25" s="311">
        <f t="shared" ca="1" si="2"/>
        <v>16.023008078399698</v>
      </c>
      <c r="V25" s="306">
        <f t="shared" ca="1" si="3"/>
        <v>1.2247020578703476</v>
      </c>
      <c r="W25" s="304">
        <f t="shared" ca="1" si="4"/>
        <v>2.3802110693882796</v>
      </c>
      <c r="Y25" s="314" t="str">
        <f t="shared" ca="1" si="22"/>
        <v/>
      </c>
      <c r="Z25" s="315" t="str">
        <f t="shared" ca="1" si="23"/>
        <v/>
      </c>
      <c r="AA25" s="316" t="str">
        <f t="shared" ca="1" si="24"/>
        <v/>
      </c>
      <c r="AC25" s="310" t="e">
        <f t="shared" ca="1" si="25"/>
        <v>#N/A</v>
      </c>
      <c r="AD25" s="323" t="e">
        <f t="shared" ca="1" si="26"/>
        <v>#N/A</v>
      </c>
      <c r="AE25" s="324">
        <f t="shared" ca="1" si="5"/>
        <v>2.4324764613328229</v>
      </c>
      <c r="AG25" s="306">
        <f t="shared" ca="1" si="27"/>
        <v>129.58528029758617</v>
      </c>
      <c r="AH25" s="304">
        <f t="shared" ca="1" si="28"/>
        <v>139.24624435463593</v>
      </c>
    </row>
    <row r="26" spans="1:34" x14ac:dyDescent="0.3">
      <c r="A26" s="347">
        <f t="shared" ca="1" si="6"/>
        <v>0.01</v>
      </c>
      <c r="B26" s="304">
        <f t="shared" ca="1" si="7"/>
        <v>0.22000000000000006</v>
      </c>
      <c r="D26" s="306">
        <f t="shared" ca="1" si="8"/>
        <v>22.531735706175628</v>
      </c>
      <c r="E26" s="307">
        <f t="shared" ca="1" si="9"/>
        <v>127.79055677457947</v>
      </c>
      <c r="F26" s="304">
        <f t="shared" ca="1" si="10"/>
        <v>129.76172592367124</v>
      </c>
      <c r="G26" s="306">
        <f t="shared" ca="1" si="11"/>
        <v>4.5737936666991708</v>
      </c>
      <c r="H26" s="307">
        <f t="shared" ca="1" si="12"/>
        <v>25.940646065271732</v>
      </c>
      <c r="I26" s="304">
        <f t="shared" ca="1" si="13"/>
        <v>26.340780299551405</v>
      </c>
      <c r="J26" s="306">
        <f t="shared" ca="1" si="14"/>
        <v>0.47349976634841856</v>
      </c>
      <c r="K26" s="307">
        <f t="shared" ca="1" si="15"/>
        <v>2.6854933941468113</v>
      </c>
      <c r="L26" s="304">
        <f t="shared" ca="1" si="0"/>
        <v>2.7269170868836787</v>
      </c>
      <c r="M26" s="306">
        <f t="shared" ca="1" si="16"/>
        <v>1.3962634015954636</v>
      </c>
      <c r="N26" s="304">
        <f t="shared" ca="1" si="17"/>
        <v>80</v>
      </c>
      <c r="P26" s="310">
        <f t="shared" ca="1" si="18"/>
        <v>6</v>
      </c>
      <c r="Q26" s="304">
        <f t="shared" ca="1" si="19"/>
        <v>1312.89</v>
      </c>
      <c r="R26" s="306">
        <f t="shared" ca="1" si="20"/>
        <v>0.64519582679362963</v>
      </c>
      <c r="S26" s="307">
        <f t="shared" ca="1" si="21"/>
        <v>9.3995445731347278</v>
      </c>
      <c r="T26" s="304">
        <f t="shared" ca="1" si="1"/>
        <v>92.209532262451688</v>
      </c>
      <c r="U26" s="311">
        <f t="shared" ca="1" si="2"/>
        <v>16.012017240894764</v>
      </c>
      <c r="V26" s="306">
        <f t="shared" ca="1" si="3"/>
        <v>1.2246710712260196</v>
      </c>
      <c r="W26" s="304">
        <f t="shared" ca="1" si="4"/>
        <v>2.6331972471532894</v>
      </c>
      <c r="Y26" s="314" t="str">
        <f t="shared" ca="1" si="22"/>
        <v/>
      </c>
      <c r="Z26" s="315" t="str">
        <f t="shared" ca="1" si="23"/>
        <v/>
      </c>
      <c r="AA26" s="316" t="str">
        <f t="shared" ca="1" si="24"/>
        <v/>
      </c>
      <c r="AC26" s="310" t="e">
        <f t="shared" ca="1" si="25"/>
        <v>#N/A</v>
      </c>
      <c r="AD26" s="323" t="e">
        <f t="shared" ca="1" si="26"/>
        <v>#N/A</v>
      </c>
      <c r="AE26" s="324">
        <f t="shared" ca="1" si="5"/>
        <v>2.6854933941468113</v>
      </c>
      <c r="AG26" s="306">
        <f t="shared" ca="1" si="27"/>
        <v>129.7617259184029</v>
      </c>
      <c r="AH26" s="304">
        <f t="shared" ca="1" si="28"/>
        <v>139.42268997545267</v>
      </c>
    </row>
    <row r="27" spans="1:34" x14ac:dyDescent="0.3">
      <c r="A27" s="347">
        <f t="shared" ca="1" si="6"/>
        <v>0.01</v>
      </c>
      <c r="B27" s="304">
        <f t="shared" ca="1" si="7"/>
        <v>0.23000000000000007</v>
      </c>
      <c r="D27" s="306">
        <f t="shared" ca="1" si="8"/>
        <v>22.562186395726442</v>
      </c>
      <c r="E27" s="307">
        <f t="shared" ca="1" si="9"/>
        <v>127.96326097785445</v>
      </c>
      <c r="F27" s="304">
        <f t="shared" ca="1" si="10"/>
        <v>129.93709406879157</v>
      </c>
      <c r="G27" s="306">
        <f t="shared" ca="1" si="11"/>
        <v>4.799415530656435</v>
      </c>
      <c r="H27" s="307">
        <f t="shared" ca="1" si="12"/>
        <v>27.220278675050277</v>
      </c>
      <c r="I27" s="304">
        <f t="shared" ca="1" si="13"/>
        <v>27.640151240239319</v>
      </c>
      <c r="J27" s="306">
        <f t="shared" ca="1" si="14"/>
        <v>0.52036581233519663</v>
      </c>
      <c r="K27" s="307">
        <f t="shared" ca="1" si="15"/>
        <v>2.9512980178484214</v>
      </c>
      <c r="L27" s="304">
        <f t="shared" ca="1" si="0"/>
        <v>2.9968217445826317</v>
      </c>
      <c r="M27" s="306">
        <f t="shared" ca="1" si="16"/>
        <v>1.3962634015954636</v>
      </c>
      <c r="N27" s="304">
        <f t="shared" ca="1" si="17"/>
        <v>80</v>
      </c>
      <c r="P27" s="310">
        <f t="shared" ca="1" si="18"/>
        <v>6</v>
      </c>
      <c r="Q27" s="304">
        <f t="shared" ca="1" si="19"/>
        <v>1313.89</v>
      </c>
      <c r="R27" s="306">
        <f t="shared" ca="1" si="20"/>
        <v>0.64568725854099129</v>
      </c>
      <c r="S27" s="307">
        <f t="shared" ca="1" si="21"/>
        <v>9.3930877005493176</v>
      </c>
      <c r="T27" s="304">
        <f t="shared" ca="1" si="1"/>
        <v>92.146190342388806</v>
      </c>
      <c r="U27" s="311">
        <f t="shared" ca="1" si="2"/>
        <v>16.001018031905918</v>
      </c>
      <c r="V27" s="306">
        <f t="shared" ca="1" si="3"/>
        <v>1.2246385193346723</v>
      </c>
      <c r="W27" s="304">
        <f t="shared" ca="1" si="4"/>
        <v>2.8993150285637914</v>
      </c>
      <c r="Y27" s="314" t="str">
        <f t="shared" ca="1" si="22"/>
        <v/>
      </c>
      <c r="Z27" s="315" t="str">
        <f t="shared" ca="1" si="23"/>
        <v/>
      </c>
      <c r="AA27" s="316" t="str">
        <f t="shared" ca="1" si="24"/>
        <v/>
      </c>
      <c r="AC27" s="310" t="e">
        <f t="shared" ca="1" si="25"/>
        <v>#N/A</v>
      </c>
      <c r="AD27" s="323" t="e">
        <f t="shared" ca="1" si="26"/>
        <v>#N/A</v>
      </c>
      <c r="AE27" s="324">
        <f t="shared" ca="1" si="5"/>
        <v>2.9512980178484214</v>
      </c>
      <c r="AG27" s="306">
        <f t="shared" ca="1" si="27"/>
        <v>129.93709406351513</v>
      </c>
      <c r="AH27" s="304">
        <f t="shared" ca="1" si="28"/>
        <v>139.5980581205649</v>
      </c>
    </row>
    <row r="28" spans="1:34" x14ac:dyDescent="0.3">
      <c r="A28" s="347">
        <f t="shared" ca="1" si="6"/>
        <v>0.01</v>
      </c>
      <c r="B28" s="304">
        <f t="shared" ca="1" si="7"/>
        <v>0.24000000000000007</v>
      </c>
      <c r="D28" s="306">
        <f t="shared" ca="1" si="8"/>
        <v>22.592448756167247</v>
      </c>
      <c r="E28" s="307">
        <f t="shared" ca="1" si="9"/>
        <v>128.13489713063649</v>
      </c>
      <c r="F28" s="304">
        <f t="shared" ca="1" si="10"/>
        <v>130.1113776864992</v>
      </c>
      <c r="G28" s="306">
        <f t="shared" ca="1" si="11"/>
        <v>5.0253400182181078</v>
      </c>
      <c r="H28" s="307">
        <f t="shared" ca="1" si="12"/>
        <v>28.501627646356642</v>
      </c>
      <c r="I28" s="304">
        <f t="shared" ca="1" si="13"/>
        <v>28.941265017104307</v>
      </c>
      <c r="J28" s="306">
        <f t="shared" ca="1" si="14"/>
        <v>0.56948959007956934</v>
      </c>
      <c r="K28" s="307">
        <f t="shared" ca="1" si="15"/>
        <v>3.2299075494554561</v>
      </c>
      <c r="L28" s="304">
        <f t="shared" ca="1" si="0"/>
        <v>3.2797288258693502</v>
      </c>
      <c r="M28" s="306">
        <f t="shared" ca="1" si="16"/>
        <v>1.3962634015954636</v>
      </c>
      <c r="N28" s="304">
        <f t="shared" ca="1" si="17"/>
        <v>80</v>
      </c>
      <c r="P28" s="310">
        <f t="shared" ca="1" si="18"/>
        <v>6</v>
      </c>
      <c r="Q28" s="304">
        <f t="shared" ca="1" si="19"/>
        <v>1314.89</v>
      </c>
      <c r="R28" s="306">
        <f t="shared" ca="1" si="20"/>
        <v>0.64617869028835295</v>
      </c>
      <c r="S28" s="307">
        <f t="shared" ca="1" si="21"/>
        <v>9.3866259136464336</v>
      </c>
      <c r="T28" s="304">
        <f t="shared" ca="1" si="1"/>
        <v>92.082800212871518</v>
      </c>
      <c r="U28" s="311">
        <f t="shared" ca="1" si="2"/>
        <v>15.990010451433172</v>
      </c>
      <c r="V28" s="306">
        <f t="shared" ca="1" si="3"/>
        <v>1.2246044002127288</v>
      </c>
      <c r="W28" s="304">
        <f t="shared" ca="1" si="4"/>
        <v>3.1786118415682303</v>
      </c>
      <c r="Y28" s="314" t="str">
        <f t="shared" ca="1" si="22"/>
        <v/>
      </c>
      <c r="Z28" s="315" t="str">
        <f t="shared" ca="1" si="23"/>
        <v/>
      </c>
      <c r="AA28" s="316" t="str">
        <f t="shared" ca="1" si="24"/>
        <v/>
      </c>
      <c r="AC28" s="310" t="e">
        <f t="shared" ca="1" si="25"/>
        <v>#N/A</v>
      </c>
      <c r="AD28" s="323" t="e">
        <f t="shared" ca="1" si="26"/>
        <v>#N/A</v>
      </c>
      <c r="AE28" s="324">
        <f t="shared" ca="1" si="5"/>
        <v>3.2299075494554561</v>
      </c>
      <c r="AG28" s="306">
        <f t="shared" ca="1" si="27"/>
        <v>130.11137768121449</v>
      </c>
      <c r="AH28" s="304">
        <f t="shared" ca="1" si="28"/>
        <v>139.77234173826426</v>
      </c>
    </row>
    <row r="29" spans="1:34" x14ac:dyDescent="0.3">
      <c r="A29" s="347">
        <f t="shared" ca="1" si="6"/>
        <v>0.01</v>
      </c>
      <c r="B29" s="304">
        <f t="shared" ca="1" si="7"/>
        <v>0.25000000000000006</v>
      </c>
      <c r="D29" s="306">
        <f t="shared" ca="1" si="8"/>
        <v>22.622521567854783</v>
      </c>
      <c r="E29" s="307">
        <f t="shared" ca="1" si="9"/>
        <v>128.3054583160353</v>
      </c>
      <c r="F29" s="304">
        <f t="shared" ca="1" si="10"/>
        <v>130.28456975319804</v>
      </c>
      <c r="G29" s="306">
        <f t="shared" ca="1" si="11"/>
        <v>5.2515652338966561</v>
      </c>
      <c r="H29" s="307">
        <f t="shared" ca="1" si="12"/>
        <v>29.784682229516996</v>
      </c>
      <c r="I29" s="304">
        <f t="shared" ca="1" si="13"/>
        <v>30.244110714636289</v>
      </c>
      <c r="J29" s="306">
        <f t="shared" ca="1" si="14"/>
        <v>0.62087411634014311</v>
      </c>
      <c r="K29" s="307">
        <f t="shared" ca="1" si="15"/>
        <v>3.5213390988348241</v>
      </c>
      <c r="L29" s="304">
        <f t="shared" ca="1" si="0"/>
        <v>3.5756557045280526</v>
      </c>
      <c r="M29" s="306">
        <f t="shared" ca="1" si="16"/>
        <v>1.3962634015954636</v>
      </c>
      <c r="N29" s="304">
        <f t="shared" ca="1" si="17"/>
        <v>80</v>
      </c>
      <c r="P29" s="310">
        <f t="shared" ca="1" si="18"/>
        <v>6</v>
      </c>
      <c r="Q29" s="304">
        <f t="shared" ca="1" si="19"/>
        <v>1315.89</v>
      </c>
      <c r="R29" s="306">
        <f t="shared" ca="1" si="20"/>
        <v>0.64667012203571461</v>
      </c>
      <c r="S29" s="307">
        <f t="shared" ca="1" si="21"/>
        <v>9.3801592124260758</v>
      </c>
      <c r="T29" s="304">
        <f t="shared" ca="1" si="1"/>
        <v>92.019361873899811</v>
      </c>
      <c r="U29" s="311">
        <f t="shared" ca="1" si="2"/>
        <v>15.978994499476517</v>
      </c>
      <c r="V29" s="306">
        <f t="shared" ca="1" si="3"/>
        <v>1.224568711895976</v>
      </c>
      <c r="W29" s="304">
        <f t="shared" ca="1" si="4"/>
        <v>3.4711346306138817</v>
      </c>
      <c r="Y29" s="314" t="str">
        <f t="shared" ca="1" si="22"/>
        <v/>
      </c>
      <c r="Z29" s="315" t="str">
        <f t="shared" ca="1" si="23"/>
        <v/>
      </c>
      <c r="AA29" s="316" t="str">
        <f t="shared" ca="1" si="24"/>
        <v/>
      </c>
      <c r="AC29" s="310" t="e">
        <f t="shared" ca="1" si="25"/>
        <v>#N/A</v>
      </c>
      <c r="AD29" s="323" t="e">
        <f t="shared" ca="1" si="26"/>
        <v>#N/A</v>
      </c>
      <c r="AE29" s="324">
        <f t="shared" ca="1" si="5"/>
        <v>3.5213390988348241</v>
      </c>
      <c r="AG29" s="306">
        <f t="shared" ca="1" si="27"/>
        <v>130.28456974790507</v>
      </c>
      <c r="AH29" s="304">
        <f t="shared" ca="1" si="28"/>
        <v>139.94553380495483</v>
      </c>
    </row>
    <row r="30" spans="1:34" x14ac:dyDescent="0.3">
      <c r="A30" s="347">
        <f t="shared" ca="1" si="6"/>
        <v>0.01</v>
      </c>
      <c r="B30" s="304">
        <f t="shared" ca="1" si="7"/>
        <v>0.26000000000000006</v>
      </c>
      <c r="D30" s="306">
        <f t="shared" ca="1" si="8"/>
        <v>22.652403616142074</v>
      </c>
      <c r="E30" s="307">
        <f t="shared" ca="1" si="9"/>
        <v>128.47493764549628</v>
      </c>
      <c r="F30" s="304">
        <f t="shared" ca="1" si="10"/>
        <v>130.45666327406494</v>
      </c>
      <c r="G30" s="306">
        <f t="shared" ca="1" si="11"/>
        <v>5.478089270058077</v>
      </c>
      <c r="H30" s="307">
        <f t="shared" ca="1" si="12"/>
        <v>31.069431605971957</v>
      </c>
      <c r="I30" s="304">
        <f t="shared" ca="1" si="13"/>
        <v>31.548677347376938</v>
      </c>
      <c r="J30" s="306">
        <f t="shared" ca="1" si="14"/>
        <v>0.67452238885991678</v>
      </c>
      <c r="K30" s="307">
        <f t="shared" ca="1" si="15"/>
        <v>3.8256096680122686</v>
      </c>
      <c r="L30" s="304">
        <f t="shared" ca="1" si="0"/>
        <v>3.8846196448381183</v>
      </c>
      <c r="M30" s="306">
        <f t="shared" ca="1" si="16"/>
        <v>1.3962634015954636</v>
      </c>
      <c r="N30" s="304">
        <f t="shared" ca="1" si="17"/>
        <v>80</v>
      </c>
      <c r="P30" s="310">
        <f t="shared" ca="1" si="18"/>
        <v>6</v>
      </c>
      <c r="Q30" s="304">
        <f t="shared" ca="1" si="19"/>
        <v>1316.89</v>
      </c>
      <c r="R30" s="306">
        <f t="shared" ca="1" si="20"/>
        <v>0.64716155378307627</v>
      </c>
      <c r="S30" s="307">
        <f t="shared" ca="1" si="21"/>
        <v>9.3736875968882458</v>
      </c>
      <c r="T30" s="304">
        <f t="shared" ca="1" si="1"/>
        <v>91.955875325473698</v>
      </c>
      <c r="U30" s="311">
        <f t="shared" ca="1" si="2"/>
        <v>15.96797017603596</v>
      </c>
      <c r="V30" s="306">
        <f t="shared" ca="1" si="3"/>
        <v>1.2245314524396724</v>
      </c>
      <c r="W30" s="304">
        <f t="shared" ca="1" si="4"/>
        <v>3.7769298510421971</v>
      </c>
      <c r="Y30" s="314" t="str">
        <f t="shared" ca="1" si="22"/>
        <v>Sortie de rampe</v>
      </c>
      <c r="Z30" s="315" t="str">
        <f t="shared" ca="1" si="23"/>
        <v/>
      </c>
      <c r="AA30" s="316" t="str">
        <f t="shared" ca="1" si="24"/>
        <v/>
      </c>
      <c r="AC30" s="310" t="e">
        <f t="shared" ca="1" si="25"/>
        <v>#N/A</v>
      </c>
      <c r="AD30" s="323" t="e">
        <f t="shared" ca="1" si="26"/>
        <v>#N/A</v>
      </c>
      <c r="AE30" s="324">
        <f t="shared" ca="1" si="5"/>
        <v>3.8256096680122686</v>
      </c>
      <c r="AG30" s="306">
        <f t="shared" ca="1" si="27"/>
        <v>130.45666326876358</v>
      </c>
      <c r="AH30" s="304">
        <f t="shared" ca="1" si="28"/>
        <v>140.11762732581334</v>
      </c>
    </row>
    <row r="31" spans="1:34" x14ac:dyDescent="0.3">
      <c r="A31" s="347">
        <f t="shared" ca="1" si="6"/>
        <v>0.01</v>
      </c>
      <c r="B31" s="304">
        <f t="shared" ca="1" si="7"/>
        <v>0.27000000000000007</v>
      </c>
      <c r="D31" s="306">
        <f t="shared" ca="1" si="8"/>
        <v>22.682093691493254</v>
      </c>
      <c r="E31" s="307">
        <f t="shared" ca="1" si="9"/>
        <v>128.64332825945138</v>
      </c>
      <c r="F31" s="304">
        <f t="shared" ca="1" si="10"/>
        <v>130.62765128371038</v>
      </c>
      <c r="G31" s="306">
        <f t="shared" ca="1" si="11"/>
        <v>5.7049102069730093</v>
      </c>
      <c r="H31" s="307">
        <f t="shared" ca="1" si="12"/>
        <v>32.355864888566472</v>
      </c>
      <c r="I31" s="304">
        <f t="shared" ca="1" si="13"/>
        <v>32.854953860214039</v>
      </c>
      <c r="J31" s="306">
        <f t="shared" ca="1" si="14"/>
        <v>0.73043738624507215</v>
      </c>
      <c r="K31" s="307">
        <f t="shared" ca="1" si="15"/>
        <v>4.1427361504849607</v>
      </c>
      <c r="L31" s="304">
        <f t="shared" ca="1" si="0"/>
        <v>4.2066378008760728</v>
      </c>
      <c r="M31" s="306">
        <f t="shared" ca="1" si="16"/>
        <v>1.3962634015954636</v>
      </c>
      <c r="N31" s="304">
        <f t="shared" ca="1" si="17"/>
        <v>80</v>
      </c>
      <c r="P31" s="310">
        <f t="shared" ca="1" si="18"/>
        <v>6</v>
      </c>
      <c r="Q31" s="304">
        <f t="shared" ca="1" si="19"/>
        <v>1317.89</v>
      </c>
      <c r="R31" s="306">
        <f t="shared" ca="1" si="20"/>
        <v>0.64765298553043793</v>
      </c>
      <c r="S31" s="307">
        <f t="shared" ca="1" si="21"/>
        <v>9.367211067032942</v>
      </c>
      <c r="T31" s="304">
        <f t="shared" ca="1" si="1"/>
        <v>91.892340567593166</v>
      </c>
      <c r="U31" s="311">
        <f t="shared" ca="1" si="2"/>
        <v>0</v>
      </c>
      <c r="V31" s="306">
        <f t="shared" ca="1" si="3"/>
        <v>1.2244926199186557</v>
      </c>
      <c r="W31" s="304">
        <f t="shared" ca="1" si="4"/>
        <v>4.0960434635080532</v>
      </c>
      <c r="Y31" s="314" t="str">
        <f t="shared" ca="1" si="22"/>
        <v/>
      </c>
      <c r="Z31" s="315" t="str">
        <f t="shared" ca="1" si="23"/>
        <v/>
      </c>
      <c r="AA31" s="316" t="str">
        <f t="shared" ca="1" si="24"/>
        <v/>
      </c>
      <c r="AC31" s="310" t="e">
        <f t="shared" ca="1" si="25"/>
        <v>#N/A</v>
      </c>
      <c r="AD31" s="323" t="e">
        <f t="shared" ca="1" si="26"/>
        <v>#N/A</v>
      </c>
      <c r="AE31" s="324">
        <f t="shared" ca="1" si="5"/>
        <v>4.1427361504849607</v>
      </c>
      <c r="AG31" s="306">
        <f t="shared" ca="1" si="27"/>
        <v>130.62765127840058</v>
      </c>
      <c r="AH31" s="304">
        <f t="shared" ca="1" si="28"/>
        <v>140.28861533545034</v>
      </c>
    </row>
    <row r="32" spans="1:34" x14ac:dyDescent="0.3">
      <c r="A32" s="347">
        <f t="shared" ca="1" si="6"/>
        <v>0.01</v>
      </c>
      <c r="B32" s="304">
        <f t="shared" ca="1" si="7"/>
        <v>0.28000000000000008</v>
      </c>
      <c r="D32" s="306">
        <f t="shared" ca="1" si="8"/>
        <v>24.390360982384056</v>
      </c>
      <c r="E32" s="307">
        <f t="shared" ca="1" si="9"/>
        <v>128.51461081330777</v>
      </c>
      <c r="F32" s="304">
        <f t="shared" ca="1" si="10"/>
        <v>130.80861936947031</v>
      </c>
      <c r="G32" s="306">
        <f t="shared" ca="1" si="11"/>
        <v>5.9488138167968501</v>
      </c>
      <c r="H32" s="307">
        <f t="shared" ca="1" si="12"/>
        <v>33.641010996699549</v>
      </c>
      <c r="I32" s="304">
        <f t="shared" ca="1" si="13"/>
        <v>34.162933227505114</v>
      </c>
      <c r="J32" s="306">
        <f t="shared" ca="1" si="14"/>
        <v>0.78870600636392141</v>
      </c>
      <c r="K32" s="307">
        <f t="shared" ca="1" si="15"/>
        <v>4.4727205299112907</v>
      </c>
      <c r="L32" s="304">
        <f t="shared" ca="1" si="0"/>
        <v>4.5417272158469029</v>
      </c>
      <c r="M32" s="306">
        <f t="shared" ca="1" si="16"/>
        <v>1.3957734637404267</v>
      </c>
      <c r="N32" s="304">
        <f t="shared" ca="1" si="17"/>
        <v>79.97192862868269</v>
      </c>
      <c r="P32" s="310">
        <f t="shared" ca="1" si="18"/>
        <v>6</v>
      </c>
      <c r="Q32" s="304">
        <f t="shared" ca="1" si="19"/>
        <v>1318.89</v>
      </c>
      <c r="R32" s="306">
        <f t="shared" ca="1" si="20"/>
        <v>0.64814441727779959</v>
      </c>
      <c r="S32" s="307">
        <f t="shared" ca="1" si="21"/>
        <v>9.3607296228601644</v>
      </c>
      <c r="T32" s="304">
        <f t="shared" ca="1" si="1"/>
        <v>91.828757600258214</v>
      </c>
      <c r="U32" s="311">
        <f t="shared" ca="1" si="2"/>
        <v>0</v>
      </c>
      <c r="V32" s="306">
        <f t="shared" ca="1" si="3"/>
        <v>1.224452214239717</v>
      </c>
      <c r="W32" s="304">
        <f t="shared" ca="1" si="4"/>
        <v>4.4285219976344585</v>
      </c>
      <c r="Y32" s="314" t="str">
        <f t="shared" ca="1" si="22"/>
        <v/>
      </c>
      <c r="Z32" s="315" t="str">
        <f t="shared" ca="1" si="23"/>
        <v/>
      </c>
      <c r="AA32" s="316" t="str">
        <f t="shared" ca="1" si="24"/>
        <v/>
      </c>
      <c r="AC32" s="310" t="e">
        <f t="shared" ca="1" si="25"/>
        <v>#N/A</v>
      </c>
      <c r="AD32" s="323" t="e">
        <f t="shared" ca="1" si="26"/>
        <v>#N/A</v>
      </c>
      <c r="AE32" s="324">
        <f t="shared" ca="1" si="5"/>
        <v>4.4727205299112907</v>
      </c>
      <c r="AG32" s="306">
        <f t="shared" ca="1" si="27"/>
        <v>130.79752684152163</v>
      </c>
      <c r="AH32" s="304">
        <f t="shared" ca="1" si="28"/>
        <v>140.4584908985714</v>
      </c>
    </row>
    <row r="33" spans="1:34" x14ac:dyDescent="0.3">
      <c r="A33" s="347">
        <f t="shared" ca="1" si="6"/>
        <v>0.01</v>
      </c>
      <c r="B33" s="304">
        <f t="shared" ca="1" si="7"/>
        <v>0.29000000000000009</v>
      </c>
      <c r="D33" s="306">
        <f t="shared" ca="1" si="8"/>
        <v>24.487514124705722</v>
      </c>
      <c r="E33" s="307">
        <f t="shared" ca="1" si="9"/>
        <v>128.66882238725529</v>
      </c>
      <c r="F33" s="304">
        <f t="shared" ca="1" si="10"/>
        <v>130.97825851083343</v>
      </c>
      <c r="G33" s="306">
        <f t="shared" ca="1" si="11"/>
        <v>6.1936889580439072</v>
      </c>
      <c r="H33" s="307">
        <f t="shared" ca="1" si="12"/>
        <v>34.927699220572102</v>
      </c>
      <c r="I33" s="304">
        <f t="shared" ca="1" si="13"/>
        <v>35.472608527591369</v>
      </c>
      <c r="J33" s="306">
        <f t="shared" ca="1" si="14"/>
        <v>0.84941852023812525</v>
      </c>
      <c r="K33" s="307">
        <f t="shared" ca="1" si="15"/>
        <v>4.8155640809976488</v>
      </c>
      <c r="L33" s="304">
        <f t="shared" ca="1" si="0"/>
        <v>4.8899048294131715</v>
      </c>
      <c r="M33" s="306">
        <f t="shared" ca="1" si="16"/>
        <v>1.3952919029454336</v>
      </c>
      <c r="N33" s="304">
        <f t="shared" ca="1" si="17"/>
        <v>79.944337227550619</v>
      </c>
      <c r="P33" s="310">
        <f t="shared" ca="1" si="18"/>
        <v>6</v>
      </c>
      <c r="Q33" s="304">
        <f t="shared" ca="1" si="19"/>
        <v>1319.89</v>
      </c>
      <c r="R33" s="306">
        <f t="shared" ca="1" si="20"/>
        <v>0.64863584902516114</v>
      </c>
      <c r="S33" s="307">
        <f t="shared" ca="1" si="21"/>
        <v>9.3542432643699129</v>
      </c>
      <c r="T33" s="304">
        <f t="shared" ca="1" si="1"/>
        <v>91.765126423468857</v>
      </c>
      <c r="U33" s="311">
        <f t="shared" ca="1" si="2"/>
        <v>0</v>
      </c>
      <c r="V33" s="306">
        <f t="shared" ca="1" si="3"/>
        <v>1.2244102354025386</v>
      </c>
      <c r="W33" s="304">
        <f t="shared" ca="1" si="4"/>
        <v>4.7744116889834745</v>
      </c>
      <c r="Y33" s="314" t="str">
        <f t="shared" ca="1" si="22"/>
        <v/>
      </c>
      <c r="Z33" s="315" t="str">
        <f t="shared" ca="1" si="23"/>
        <v/>
      </c>
      <c r="AA33" s="316" t="str">
        <f t="shared" ca="1" si="24"/>
        <v/>
      </c>
      <c r="AC33" s="310" t="e">
        <f t="shared" ca="1" si="25"/>
        <v>#N/A</v>
      </c>
      <c r="AD33" s="323" t="e">
        <f t="shared" ca="1" si="26"/>
        <v>#N/A</v>
      </c>
      <c r="AE33" s="324">
        <f t="shared" ca="1" si="5"/>
        <v>4.8155640809976488</v>
      </c>
      <c r="AG33" s="306">
        <f t="shared" ca="1" si="27"/>
        <v>130.96711870231996</v>
      </c>
      <c r="AH33" s="304">
        <f t="shared" ca="1" si="28"/>
        <v>140.62724699633659</v>
      </c>
    </row>
    <row r="34" spans="1:34" x14ac:dyDescent="0.3">
      <c r="A34" s="347">
        <f t="shared" ca="1" si="6"/>
        <v>0.01</v>
      </c>
      <c r="B34" s="304">
        <f t="shared" ca="1" si="7"/>
        <v>0.3000000000000001</v>
      </c>
      <c r="D34" s="306">
        <f t="shared" ca="1" si="8"/>
        <v>24.583466197079705</v>
      </c>
      <c r="E34" s="307">
        <f t="shared" ca="1" si="9"/>
        <v>128.82206869882572</v>
      </c>
      <c r="F34" s="304">
        <f t="shared" ca="1" si="10"/>
        <v>131.14675822950383</v>
      </c>
      <c r="G34" s="306">
        <f t="shared" ca="1" si="11"/>
        <v>6.4395236200147039</v>
      </c>
      <c r="H34" s="307">
        <f t="shared" ca="1" si="12"/>
        <v>36.215919907560355</v>
      </c>
      <c r="I34" s="304">
        <f t="shared" ca="1" si="13"/>
        <v>36.78396823622424</v>
      </c>
      <c r="J34" s="306">
        <f t="shared" ca="1" si="14"/>
        <v>0.91258458312841828</v>
      </c>
      <c r="K34" s="307">
        <f t="shared" ca="1" si="15"/>
        <v>5.1712821766383108</v>
      </c>
      <c r="L34" s="304">
        <f t="shared" ca="1" si="0"/>
        <v>5.251187482063532</v>
      </c>
      <c r="M34" s="306">
        <f t="shared" ca="1" si="16"/>
        <v>1.3948262453301394</v>
      </c>
      <c r="N34" s="304">
        <f t="shared" ca="1" si="17"/>
        <v>79.917657011496146</v>
      </c>
      <c r="P34" s="310">
        <f t="shared" ca="1" si="18"/>
        <v>6</v>
      </c>
      <c r="Q34" s="304">
        <f t="shared" ca="1" si="19"/>
        <v>1320.89</v>
      </c>
      <c r="R34" s="306">
        <f t="shared" ca="1" si="20"/>
        <v>0.6491272807725228</v>
      </c>
      <c r="S34" s="307">
        <f t="shared" ca="1" si="21"/>
        <v>9.3477519915621876</v>
      </c>
      <c r="T34" s="304">
        <f t="shared" ca="1" si="1"/>
        <v>91.701447037225066</v>
      </c>
      <c r="U34" s="311">
        <f t="shared" ca="1" si="2"/>
        <v>0</v>
      </c>
      <c r="V34" s="306">
        <f t="shared" ca="1" si="3"/>
        <v>1.2243666816867473</v>
      </c>
      <c r="W34" s="304">
        <f t="shared" ca="1" si="4"/>
        <v>5.1337571615048017</v>
      </c>
      <c r="Y34" s="314" t="str">
        <f t="shared" ca="1" si="22"/>
        <v/>
      </c>
      <c r="Z34" s="315" t="str">
        <f t="shared" ca="1" si="23"/>
        <v/>
      </c>
      <c r="AA34" s="316" t="str">
        <f t="shared" ca="1" si="24"/>
        <v/>
      </c>
      <c r="AC34" s="310" t="e">
        <f t="shared" ca="1" si="25"/>
        <v>#N/A</v>
      </c>
      <c r="AD34" s="323" t="e">
        <f t="shared" ca="1" si="26"/>
        <v>#N/A</v>
      </c>
      <c r="AE34" s="324">
        <f t="shared" ca="1" si="5"/>
        <v>5.1712821766383108</v>
      </c>
      <c r="AG34" s="306">
        <f t="shared" ca="1" si="27"/>
        <v>131.13557205700135</v>
      </c>
      <c r="AH34" s="304">
        <f t="shared" ca="1" si="28"/>
        <v>140.79487661835887</v>
      </c>
    </row>
    <row r="35" spans="1:34" x14ac:dyDescent="0.3">
      <c r="A35" s="347">
        <f t="shared" ca="1" si="6"/>
        <v>0.01</v>
      </c>
      <c r="B35" s="304">
        <f t="shared" ca="1" si="7"/>
        <v>0.31000000000000011</v>
      </c>
      <c r="D35" s="306">
        <f t="shared" ca="1" si="8"/>
        <v>24.677166000525247</v>
      </c>
      <c r="E35" s="307">
        <f t="shared" ca="1" si="9"/>
        <v>128.9745313033502</v>
      </c>
      <c r="F35" s="304">
        <f t="shared" ca="1" si="10"/>
        <v>131.314097669429</v>
      </c>
      <c r="G35" s="306">
        <f t="shared" ca="1" si="11"/>
        <v>6.686295280019956</v>
      </c>
      <c r="H35" s="307">
        <f t="shared" ca="1" si="12"/>
        <v>37.505665220593855</v>
      </c>
      <c r="I35" s="304">
        <f t="shared" ca="1" si="13"/>
        <v>38.097000777106857</v>
      </c>
      <c r="J35" s="306">
        <f t="shared" ca="1" si="14"/>
        <v>0.97821367762859157</v>
      </c>
      <c r="K35" s="307">
        <f t="shared" ca="1" si="15"/>
        <v>5.5398901022790819</v>
      </c>
      <c r="L35" s="304">
        <f t="shared" ca="1" si="0"/>
        <v>5.6255919105841112</v>
      </c>
      <c r="M35" s="306">
        <f t="shared" ca="1" si="16"/>
        <v>1.3943754562399007</v>
      </c>
      <c r="N35" s="304">
        <f t="shared" ca="1" si="17"/>
        <v>79.891828699174923</v>
      </c>
      <c r="P35" s="310">
        <f t="shared" ca="1" si="18"/>
        <v>6</v>
      </c>
      <c r="Q35" s="304">
        <f t="shared" ca="1" si="19"/>
        <v>1321.89</v>
      </c>
      <c r="R35" s="306">
        <f t="shared" ca="1" si="20"/>
        <v>0.64961871251988446</v>
      </c>
      <c r="S35" s="307">
        <f t="shared" ca="1" si="21"/>
        <v>9.3412558044369884</v>
      </c>
      <c r="T35" s="304">
        <f t="shared" ca="1" si="1"/>
        <v>91.637719441526855</v>
      </c>
      <c r="U35" s="311">
        <f t="shared" ca="1" si="2"/>
        <v>0</v>
      </c>
      <c r="V35" s="306">
        <f t="shared" ca="1" si="3"/>
        <v>1.2243215513890082</v>
      </c>
      <c r="W35" s="304">
        <f t="shared" ca="1" si="4"/>
        <v>5.5066025176843381</v>
      </c>
      <c r="Y35" s="314" t="str">
        <f t="shared" ca="1" si="22"/>
        <v/>
      </c>
      <c r="Z35" s="315" t="str">
        <f t="shared" ca="1" si="23"/>
        <v/>
      </c>
      <c r="AA35" s="316" t="str">
        <f t="shared" ca="1" si="24"/>
        <v/>
      </c>
      <c r="AC35" s="310" t="e">
        <f t="shared" ca="1" si="25"/>
        <v>#N/A</v>
      </c>
      <c r="AD35" s="323" t="e">
        <f t="shared" ca="1" si="26"/>
        <v>#N/A</v>
      </c>
      <c r="AE35" s="324">
        <f t="shared" ca="1" si="5"/>
        <v>5.5398901022790819</v>
      </c>
      <c r="AG35" s="306">
        <f t="shared" ca="1" si="27"/>
        <v>131.30286700216118</v>
      </c>
      <c r="AH35" s="304">
        <f t="shared" ca="1" si="28"/>
        <v>140.96137290374293</v>
      </c>
    </row>
    <row r="36" spans="1:34" x14ac:dyDescent="0.3">
      <c r="A36" s="347">
        <f t="shared" ca="1" si="6"/>
        <v>0.01</v>
      </c>
      <c r="B36" s="304">
        <f t="shared" ca="1" si="7"/>
        <v>0.32000000000000012</v>
      </c>
      <c r="D36" s="306">
        <f t="shared" ca="1" si="8"/>
        <v>24.768747221962673</v>
      </c>
      <c r="E36" s="307">
        <f t="shared" ca="1" si="9"/>
        <v>129.12618249502034</v>
      </c>
      <c r="F36" s="304">
        <f t="shared" ca="1" si="10"/>
        <v>131.48027169382783</v>
      </c>
      <c r="G36" s="306">
        <f t="shared" ca="1" si="11"/>
        <v>6.9339827522395829</v>
      </c>
      <c r="H36" s="307">
        <f t="shared" ca="1" si="12"/>
        <v>38.796927045544059</v>
      </c>
      <c r="I36" s="304">
        <f t="shared" ca="1" si="13"/>
        <v>39.411694520606751</v>
      </c>
      <c r="J36" s="306">
        <f t="shared" ca="1" si="14"/>
        <v>1.0463150677898894</v>
      </c>
      <c r="K36" s="307">
        <f t="shared" ca="1" si="15"/>
        <v>5.9214030636097714</v>
      </c>
      <c r="L36" s="304">
        <f t="shared" ca="1" si="0"/>
        <v>6.0131347451068606</v>
      </c>
      <c r="M36" s="306">
        <f t="shared" ca="1" si="16"/>
        <v>1.3939385998641216</v>
      </c>
      <c r="N36" s="304">
        <f t="shared" ca="1" si="17"/>
        <v>79.866798672589397</v>
      </c>
      <c r="P36" s="310">
        <f t="shared" ca="1" si="18"/>
        <v>6</v>
      </c>
      <c r="Q36" s="304">
        <f t="shared" ca="1" si="19"/>
        <v>1322.89</v>
      </c>
      <c r="R36" s="306">
        <f t="shared" ca="1" si="20"/>
        <v>0.65011014426724612</v>
      </c>
      <c r="S36" s="307">
        <f t="shared" ca="1" si="21"/>
        <v>9.3347547029943154</v>
      </c>
      <c r="T36" s="304">
        <f t="shared" ca="1" si="1"/>
        <v>91.573943636374239</v>
      </c>
      <c r="U36" s="311">
        <f t="shared" ca="1" si="2"/>
        <v>0</v>
      </c>
      <c r="V36" s="306">
        <f t="shared" ca="1" si="3"/>
        <v>1.2242748428221046</v>
      </c>
      <c r="W36" s="304">
        <f t="shared" ca="1" si="4"/>
        <v>5.8929913333965498</v>
      </c>
      <c r="Y36" s="314" t="str">
        <f t="shared" ca="1" si="22"/>
        <v/>
      </c>
      <c r="Z36" s="315" t="str">
        <f t="shared" ca="1" si="23"/>
        <v/>
      </c>
      <c r="AA36" s="316" t="str">
        <f t="shared" ca="1" si="24"/>
        <v/>
      </c>
      <c r="AC36" s="310" t="e">
        <f t="shared" ca="1" si="25"/>
        <v>#N/A</v>
      </c>
      <c r="AD36" s="323" t="e">
        <f t="shared" ca="1" si="26"/>
        <v>#N/A</v>
      </c>
      <c r="AE36" s="324">
        <f t="shared" ca="1" si="5"/>
        <v>5.9214030636097714</v>
      </c>
      <c r="AG36" s="306">
        <f t="shared" ca="1" si="27"/>
        <v>131.46899827672246</v>
      </c>
      <c r="AH36" s="304">
        <f t="shared" ca="1" si="28"/>
        <v>141.12672902478496</v>
      </c>
    </row>
    <row r="37" spans="1:34" x14ac:dyDescent="0.3">
      <c r="A37" s="347">
        <f t="shared" ca="1" si="6"/>
        <v>0.01</v>
      </c>
      <c r="B37" s="304">
        <f t="shared" ca="1" si="7"/>
        <v>0.33000000000000013</v>
      </c>
      <c r="D37" s="306">
        <f t="shared" ca="1" si="8"/>
        <v>24.85833051223786</v>
      </c>
      <c r="E37" s="307">
        <f t="shared" ca="1" si="9"/>
        <v>129.27699658155595</v>
      </c>
      <c r="F37" s="304">
        <f t="shared" ca="1" si="10"/>
        <v>131.6452750424537</v>
      </c>
      <c r="G37" s="306">
        <f t="shared" ca="1" si="11"/>
        <v>7.1825660573619619</v>
      </c>
      <c r="H37" s="307">
        <f t="shared" ca="1" si="12"/>
        <v>40.089697011359618</v>
      </c>
      <c r="I37" s="304">
        <f t="shared" ca="1" si="13"/>
        <v>40.728037782723888</v>
      </c>
      <c r="J37" s="306">
        <f t="shared" ca="1" si="14"/>
        <v>1.1168978118378972</v>
      </c>
      <c r="K37" s="307">
        <f t="shared" ca="1" si="15"/>
        <v>6.31583618389429</v>
      </c>
      <c r="L37" s="304">
        <f t="shared" ca="1" si="0"/>
        <v>6.4138325066902606</v>
      </c>
      <c r="M37" s="306">
        <f t="shared" ca="1" si="16"/>
        <v>1.3935148269620017</v>
      </c>
      <c r="N37" s="304">
        <f t="shared" ca="1" si="17"/>
        <v>79.842518273825917</v>
      </c>
      <c r="P37" s="310">
        <f t="shared" ca="1" si="18"/>
        <v>6</v>
      </c>
      <c r="Q37" s="304">
        <f t="shared" ca="1" si="19"/>
        <v>1323.89</v>
      </c>
      <c r="R37" s="306">
        <f t="shared" ca="1" si="20"/>
        <v>0.65060157601460777</v>
      </c>
      <c r="S37" s="307">
        <f t="shared" ca="1" si="21"/>
        <v>9.3282486872341686</v>
      </c>
      <c r="T37" s="304">
        <f t="shared" ca="1" si="1"/>
        <v>91.510119621767203</v>
      </c>
      <c r="U37" s="311">
        <f t="shared" ca="1" si="2"/>
        <v>0</v>
      </c>
      <c r="V37" s="306">
        <f t="shared" ca="1" si="3"/>
        <v>1.2242265543152853</v>
      </c>
      <c r="W37" s="304">
        <f t="shared" ca="1" si="4"/>
        <v>6.2929666527741164</v>
      </c>
      <c r="Y37" s="314" t="str">
        <f t="shared" ca="1" si="22"/>
        <v/>
      </c>
      <c r="Z37" s="315" t="str">
        <f t="shared" ca="1" si="23"/>
        <v/>
      </c>
      <c r="AA37" s="316" t="str">
        <f t="shared" ca="1" si="24"/>
        <v/>
      </c>
      <c r="AC37" s="310" t="e">
        <f t="shared" ca="1" si="25"/>
        <v>#N/A</v>
      </c>
      <c r="AD37" s="323" t="e">
        <f t="shared" ca="1" si="26"/>
        <v>#N/A</v>
      </c>
      <c r="AE37" s="324">
        <f t="shared" ca="1" si="5"/>
        <v>6.31583618389429</v>
      </c>
      <c r="AG37" s="306">
        <f t="shared" ca="1" si="27"/>
        <v>131.63396050759641</v>
      </c>
      <c r="AH37" s="304">
        <f t="shared" ca="1" si="28"/>
        <v>141.29093818760427</v>
      </c>
    </row>
    <row r="38" spans="1:34" x14ac:dyDescent="0.3">
      <c r="A38" s="347">
        <f t="shared" ca="1" si="6"/>
        <v>0.01</v>
      </c>
      <c r="B38" s="304">
        <f t="shared" ca="1" si="7"/>
        <v>0.34000000000000014</v>
      </c>
      <c r="D38" s="306">
        <f t="shared" ca="1" si="8"/>
        <v>24.94602511334438</v>
      </c>
      <c r="E38" s="307">
        <f t="shared" ca="1" si="9"/>
        <v>129.42694964234778</v>
      </c>
      <c r="F38" s="304">
        <f t="shared" ca="1" si="10"/>
        <v>131.80910235138708</v>
      </c>
      <c r="G38" s="306">
        <f t="shared" ca="1" si="11"/>
        <v>7.4320263084954057</v>
      </c>
      <c r="H38" s="307">
        <f t="shared" ca="1" si="12"/>
        <v>41.383966507783093</v>
      </c>
      <c r="I38" s="304">
        <f t="shared" ca="1" si="13"/>
        <v>42.046018824229726</v>
      </c>
      <c r="J38" s="306">
        <f t="shared" ca="1" si="14"/>
        <v>1.1899707736671841</v>
      </c>
      <c r="K38" s="307">
        <f t="shared" ca="1" si="15"/>
        <v>6.7232045014900033</v>
      </c>
      <c r="L38" s="304">
        <f t="shared" ca="1" si="0"/>
        <v>6.827701605301562</v>
      </c>
      <c r="M38" s="306">
        <f t="shared" ca="1" si="16"/>
        <v>1.3931033644424153</v>
      </c>
      <c r="N38" s="304">
        <f t="shared" ca="1" si="17"/>
        <v>79.8189432080258</v>
      </c>
      <c r="P38" s="310">
        <f t="shared" ca="1" si="18"/>
        <v>6</v>
      </c>
      <c r="Q38" s="304">
        <f t="shared" ca="1" si="19"/>
        <v>1324.89</v>
      </c>
      <c r="R38" s="306">
        <f t="shared" ca="1" si="20"/>
        <v>0.65109300776196943</v>
      </c>
      <c r="S38" s="307">
        <f t="shared" ca="1" si="21"/>
        <v>9.3217377571565496</v>
      </c>
      <c r="T38" s="304">
        <f t="shared" ca="1" si="1"/>
        <v>91.446247397705761</v>
      </c>
      <c r="U38" s="311">
        <f t="shared" ca="1" si="2"/>
        <v>0</v>
      </c>
      <c r="V38" s="306">
        <f t="shared" ca="1" si="3"/>
        <v>1.2241766842145874</v>
      </c>
      <c r="W38" s="304">
        <f t="shared" ca="1" si="4"/>
        <v>6.7065709830814892</v>
      </c>
      <c r="Y38" s="314" t="str">
        <f t="shared" ca="1" si="22"/>
        <v/>
      </c>
      <c r="Z38" s="315" t="str">
        <f t="shared" ca="1" si="23"/>
        <v/>
      </c>
      <c r="AA38" s="316" t="str">
        <f t="shared" ca="1" si="24"/>
        <v/>
      </c>
      <c r="AC38" s="310" t="e">
        <f t="shared" ca="1" si="25"/>
        <v>#N/A</v>
      </c>
      <c r="AD38" s="323" t="e">
        <f t="shared" ca="1" si="26"/>
        <v>#N/A</v>
      </c>
      <c r="AE38" s="324">
        <f t="shared" ca="1" si="5"/>
        <v>6.7232045014900033</v>
      </c>
      <c r="AG38" s="306">
        <f t="shared" ca="1" si="27"/>
        <v>131.79774822808628</v>
      </c>
      <c r="AH38" s="304">
        <f t="shared" ca="1" si="28"/>
        <v>141.45399363277554</v>
      </c>
    </row>
    <row r="39" spans="1:34" x14ac:dyDescent="0.3">
      <c r="A39" s="347">
        <f t="shared" ca="1" si="6"/>
        <v>0.01</v>
      </c>
      <c r="B39" s="304">
        <f t="shared" ca="1" si="7"/>
        <v>0.35000000000000014</v>
      </c>
      <c r="D39" s="306">
        <f t="shared" ca="1" si="8"/>
        <v>25.031930239181715</v>
      </c>
      <c r="E39" s="307">
        <f t="shared" ca="1" si="9"/>
        <v>129.57601932279476</v>
      </c>
      <c r="F39" s="304">
        <f t="shared" ca="1" si="10"/>
        <v>131.97174816997972</v>
      </c>
      <c r="G39" s="306">
        <f t="shared" ca="1" si="11"/>
        <v>7.6823456108872232</v>
      </c>
      <c r="H39" s="307">
        <f t="shared" ca="1" si="12"/>
        <v>42.679726701011042</v>
      </c>
      <c r="I39" s="304">
        <f t="shared" ca="1" si="13"/>
        <v>43.365625849953013</v>
      </c>
      <c r="J39" s="306">
        <f t="shared" ca="1" si="14"/>
        <v>1.2655426332640971</v>
      </c>
      <c r="K39" s="307">
        <f t="shared" ca="1" si="15"/>
        <v>7.1435229675339738</v>
      </c>
      <c r="L39" s="304">
        <f t="shared" ca="1" si="0"/>
        <v>7.2547583381043381</v>
      </c>
      <c r="M39" s="306">
        <f t="shared" ca="1" si="16"/>
        <v>1.3927035064709672</v>
      </c>
      <c r="N39" s="304">
        <f t="shared" ca="1" si="17"/>
        <v>79.796033033857157</v>
      </c>
      <c r="P39" s="310">
        <f t="shared" ca="1" si="18"/>
        <v>6</v>
      </c>
      <c r="Q39" s="304">
        <f t="shared" ca="1" si="19"/>
        <v>1325.89</v>
      </c>
      <c r="R39" s="306">
        <f t="shared" ca="1" si="20"/>
        <v>0.65158443950933109</v>
      </c>
      <c r="S39" s="307">
        <f t="shared" ca="1" si="21"/>
        <v>9.3152219127614568</v>
      </c>
      <c r="T39" s="304">
        <f t="shared" ca="1" si="1"/>
        <v>91.3823269641899</v>
      </c>
      <c r="U39" s="311">
        <f t="shared" ca="1" si="2"/>
        <v>0</v>
      </c>
      <c r="V39" s="306">
        <f t="shared" ca="1" si="3"/>
        <v>1.2241252308831412</v>
      </c>
      <c r="W39" s="304">
        <f t="shared" ca="1" si="4"/>
        <v>7.1338462895965051</v>
      </c>
      <c r="Y39" s="314" t="str">
        <f t="shared" ca="1" si="22"/>
        <v/>
      </c>
      <c r="Z39" s="315" t="str">
        <f t="shared" ca="1" si="23"/>
        <v/>
      </c>
      <c r="AA39" s="316" t="str">
        <f t="shared" ca="1" si="24"/>
        <v/>
      </c>
      <c r="AC39" s="310" t="e">
        <f t="shared" ca="1" si="25"/>
        <v>#N/A</v>
      </c>
      <c r="AD39" s="323" t="e">
        <f t="shared" ca="1" si="26"/>
        <v>#N/A</v>
      </c>
      <c r="AE39" s="324">
        <f t="shared" ca="1" si="5"/>
        <v>7.1435229675339738</v>
      </c>
      <c r="AG39" s="306">
        <f t="shared" ca="1" si="27"/>
        <v>131.96035589364885</v>
      </c>
      <c r="AH39" s="304">
        <f t="shared" ca="1" si="28"/>
        <v>141.61588863596407</v>
      </c>
    </row>
    <row r="40" spans="1:34" x14ac:dyDescent="0.3">
      <c r="A40" s="347">
        <f t="shared" ca="1" si="6"/>
        <v>0.01</v>
      </c>
      <c r="B40" s="304">
        <f t="shared" ca="1" si="7"/>
        <v>0.36000000000000015</v>
      </c>
      <c r="D40" s="306">
        <f t="shared" ca="1" si="8"/>
        <v>25.116136253391034</v>
      </c>
      <c r="E40" s="307">
        <f t="shared" ca="1" si="9"/>
        <v>129.724184658517</v>
      </c>
      <c r="F40" s="304">
        <f t="shared" ca="1" si="10"/>
        <v>132.13320697544552</v>
      </c>
      <c r="G40" s="306">
        <f t="shared" ca="1" si="11"/>
        <v>7.9335069734211334</v>
      </c>
      <c r="H40" s="307">
        <f t="shared" ca="1" si="12"/>
        <v>43.976968547596215</v>
      </c>
      <c r="I40" s="304">
        <f t="shared" ca="1" si="13"/>
        <v>44.686847008192338</v>
      </c>
      <c r="J40" s="306">
        <f t="shared" ca="1" si="14"/>
        <v>1.343621896185639</v>
      </c>
      <c r="K40" s="307">
        <f t="shared" ca="1" si="15"/>
        <v>7.5768064437770102</v>
      </c>
      <c r="L40" s="304">
        <f t="shared" ca="1" si="0"/>
        <v>7.6950188879800887</v>
      </c>
      <c r="M40" s="306">
        <f t="shared" ca="1" si="16"/>
        <v>1.3923146068427197</v>
      </c>
      <c r="N40" s="304">
        <f t="shared" ca="1" si="17"/>
        <v>79.77375072650436</v>
      </c>
      <c r="P40" s="310">
        <f t="shared" ca="1" si="18"/>
        <v>6</v>
      </c>
      <c r="Q40" s="304">
        <f t="shared" ca="1" si="19"/>
        <v>1326.89</v>
      </c>
      <c r="R40" s="306">
        <f t="shared" ca="1" si="20"/>
        <v>0.65207587125669264</v>
      </c>
      <c r="S40" s="307">
        <f t="shared" ca="1" si="21"/>
        <v>9.3087011540488902</v>
      </c>
      <c r="T40" s="304">
        <f t="shared" ca="1" si="1"/>
        <v>91.31835832121962</v>
      </c>
      <c r="U40" s="311">
        <f t="shared" ca="1" si="2"/>
        <v>0</v>
      </c>
      <c r="V40" s="306">
        <f t="shared" ca="1" si="3"/>
        <v>1.2240721927014535</v>
      </c>
      <c r="W40" s="304">
        <f t="shared" ca="1" si="4"/>
        <v>7.5748339905036755</v>
      </c>
      <c r="Y40" s="314" t="str">
        <f t="shared" ca="1" si="22"/>
        <v/>
      </c>
      <c r="Z40" s="315" t="str">
        <f t="shared" ca="1" si="23"/>
        <v/>
      </c>
      <c r="AA40" s="316" t="str">
        <f t="shared" ca="1" si="24"/>
        <v/>
      </c>
      <c r="AC40" s="310" t="e">
        <f t="shared" ca="1" si="25"/>
        <v>#N/A</v>
      </c>
      <c r="AD40" s="323" t="e">
        <f t="shared" ca="1" si="26"/>
        <v>#N/A</v>
      </c>
      <c r="AE40" s="324">
        <f t="shared" ca="1" si="5"/>
        <v>7.5768064437770102</v>
      </c>
      <c r="AG40" s="306">
        <f t="shared" ca="1" si="27"/>
        <v>132.12177789547309</v>
      </c>
      <c r="AH40" s="304">
        <f t="shared" ca="1" si="28"/>
        <v>141.7766165085626</v>
      </c>
    </row>
    <row r="41" spans="1:34" x14ac:dyDescent="0.3">
      <c r="A41" s="347">
        <f t="shared" ca="1" si="6"/>
        <v>0.01</v>
      </c>
      <c r="B41" s="304">
        <f t="shared" ca="1" si="7"/>
        <v>0.37000000000000016</v>
      </c>
      <c r="D41" s="306">
        <f t="shared" ca="1" si="8"/>
        <v>25.198725679081988</v>
      </c>
      <c r="E41" s="307">
        <f t="shared" ca="1" si="9"/>
        <v>129.87142592438227</v>
      </c>
      <c r="F41" s="304">
        <f t="shared" ca="1" si="10"/>
        <v>132.29347318549748</v>
      </c>
      <c r="G41" s="306">
        <f t="shared" ca="1" si="11"/>
        <v>8.1854942302119529</v>
      </c>
      <c r="H41" s="307">
        <f t="shared" ca="1" si="12"/>
        <v>45.275682806840038</v>
      </c>
      <c r="I41" s="304">
        <f t="shared" ca="1" si="13"/>
        <v>46.009670390238874</v>
      </c>
      <c r="J41" s="306">
        <f t="shared" ca="1" si="14"/>
        <v>1.4242169022038045</v>
      </c>
      <c r="K41" s="307">
        <f t="shared" ca="1" si="15"/>
        <v>8.0230697005491916</v>
      </c>
      <c r="L41" s="304">
        <f t="shared" ca="1" si="0"/>
        <v>8.1484993222306574</v>
      </c>
      <c r="M41" s="306">
        <f t="shared" ca="1" si="16"/>
        <v>1.391936072409947</v>
      </c>
      <c r="N41" s="304">
        <f t="shared" ca="1" si="17"/>
        <v>79.752062301106108</v>
      </c>
      <c r="P41" s="310">
        <f t="shared" ca="1" si="18"/>
        <v>6</v>
      </c>
      <c r="Q41" s="304">
        <f t="shared" ca="1" si="19"/>
        <v>1327.89</v>
      </c>
      <c r="R41" s="306">
        <f t="shared" ca="1" si="20"/>
        <v>0.6525673030040543</v>
      </c>
      <c r="S41" s="307">
        <f t="shared" ca="1" si="21"/>
        <v>9.3021754810188497</v>
      </c>
      <c r="T41" s="304">
        <f t="shared" ca="1" si="1"/>
        <v>91.254341468794919</v>
      </c>
      <c r="U41" s="311">
        <f t="shared" ca="1" si="2"/>
        <v>0</v>
      </c>
      <c r="V41" s="306">
        <f t="shared" ca="1" si="3"/>
        <v>1.2240175680676761</v>
      </c>
      <c r="W41" s="304">
        <f t="shared" ca="1" si="4"/>
        <v>8.0295749518025108</v>
      </c>
      <c r="Y41" s="314" t="str">
        <f t="shared" ca="1" si="22"/>
        <v/>
      </c>
      <c r="Z41" s="315" t="str">
        <f t="shared" ca="1" si="23"/>
        <v/>
      </c>
      <c r="AA41" s="316" t="str">
        <f t="shared" ca="1" si="24"/>
        <v/>
      </c>
      <c r="AC41" s="310" t="e">
        <f t="shared" ca="1" si="25"/>
        <v>#N/A</v>
      </c>
      <c r="AD41" s="323" t="e">
        <f t="shared" ca="1" si="26"/>
        <v>#N/A</v>
      </c>
      <c r="AE41" s="324">
        <f t="shared" ca="1" si="5"/>
        <v>8.0230697005491916</v>
      </c>
      <c r="AG41" s="306">
        <f t="shared" ca="1" si="27"/>
        <v>132.28200857224621</v>
      </c>
      <c r="AH41" s="304">
        <f t="shared" ca="1" si="28"/>
        <v>141.93617059833028</v>
      </c>
    </row>
    <row r="42" spans="1:34" x14ac:dyDescent="0.3">
      <c r="A42" s="347">
        <f t="shared" ca="1" si="6"/>
        <v>0.01</v>
      </c>
      <c r="B42" s="304">
        <f t="shared" ca="1" si="7"/>
        <v>0.38000000000000017</v>
      </c>
      <c r="D42" s="306">
        <f t="shared" ca="1" si="8"/>
        <v>25.27977406848407</v>
      </c>
      <c r="E42" s="307">
        <f t="shared" ca="1" si="9"/>
        <v>130.01772450425725</v>
      </c>
      <c r="F42" s="304">
        <f t="shared" ca="1" si="10"/>
        <v>132.45254116935067</v>
      </c>
      <c r="G42" s="306">
        <f t="shared" ca="1" si="11"/>
        <v>8.4382919708967936</v>
      </c>
      <c r="H42" s="307">
        <f t="shared" ca="1" si="12"/>
        <v>46.575860051882607</v>
      </c>
      <c r="I42" s="304">
        <f t="shared" ca="1" si="13"/>
        <v>47.334084029995289</v>
      </c>
      <c r="J42" s="306">
        <f t="shared" ca="1" si="14"/>
        <v>1.5073358332093483</v>
      </c>
      <c r="K42" s="307">
        <f t="shared" ca="1" si="15"/>
        <v>8.4823274148428052</v>
      </c>
      <c r="L42" s="304">
        <f t="shared" ca="1" si="0"/>
        <v>8.6152155914214212</v>
      </c>
      <c r="M42" s="306">
        <f t="shared" ca="1" si="16"/>
        <v>1.391567357394135</v>
      </c>
      <c r="N42" s="304">
        <f t="shared" ca="1" si="17"/>
        <v>79.73093648685699</v>
      </c>
      <c r="P42" s="310">
        <f t="shared" ca="1" si="18"/>
        <v>6</v>
      </c>
      <c r="Q42" s="304">
        <f t="shared" ca="1" si="19"/>
        <v>1328.89</v>
      </c>
      <c r="R42" s="306">
        <f t="shared" ca="1" si="20"/>
        <v>0.65305873475141596</v>
      </c>
      <c r="S42" s="307">
        <f t="shared" ca="1" si="21"/>
        <v>9.2956448936713354</v>
      </c>
      <c r="T42" s="304">
        <f t="shared" ca="1" si="1"/>
        <v>91.1902764069158</v>
      </c>
      <c r="U42" s="311">
        <f t="shared" ca="1" si="2"/>
        <v>0</v>
      </c>
      <c r="V42" s="306">
        <f t="shared" ca="1" si="3"/>
        <v>1.2239613553978608</v>
      </c>
      <c r="W42" s="304">
        <f t="shared" ca="1" si="4"/>
        <v>8.4981094822337884</v>
      </c>
      <c r="Y42" s="314" t="str">
        <f t="shared" ca="1" si="22"/>
        <v/>
      </c>
      <c r="Z42" s="315" t="str">
        <f t="shared" ca="1" si="23"/>
        <v/>
      </c>
      <c r="AA42" s="316" t="str">
        <f t="shared" ca="1" si="24"/>
        <v/>
      </c>
      <c r="AC42" s="310" t="e">
        <f t="shared" ca="1" si="25"/>
        <v>#N/A</v>
      </c>
      <c r="AD42" s="323" t="e">
        <f t="shared" ca="1" si="26"/>
        <v>#N/A</v>
      </c>
      <c r="AE42" s="324">
        <f t="shared" ca="1" si="5"/>
        <v>8.4823274148428052</v>
      </c>
      <c r="AG42" s="306">
        <f t="shared" ca="1" si="27"/>
        <v>132.44104222040406</v>
      </c>
      <c r="AH42" s="304">
        <f t="shared" ca="1" si="28"/>
        <v>142.09454429003267</v>
      </c>
    </row>
    <row r="43" spans="1:34" x14ac:dyDescent="0.3">
      <c r="A43" s="347">
        <f t="shared" ca="1" si="6"/>
        <v>0.01</v>
      </c>
      <c r="B43" s="304">
        <f t="shared" ca="1" si="7"/>
        <v>0.39000000000000018</v>
      </c>
      <c r="D43" s="306">
        <f t="shared" ca="1" si="8"/>
        <v>25.359350755243096</v>
      </c>
      <c r="E43" s="307">
        <f t="shared" ca="1" si="9"/>
        <v>130.16306277816298</v>
      </c>
      <c r="F43" s="304">
        <f t="shared" ca="1" si="10"/>
        <v>132.61040525735319</v>
      </c>
      <c r="G43" s="306">
        <f t="shared" ca="1" si="11"/>
        <v>8.6918854784492243</v>
      </c>
      <c r="H43" s="307">
        <f t="shared" ca="1" si="12"/>
        <v>47.877490679664234</v>
      </c>
      <c r="I43" s="304">
        <f t="shared" ca="1" si="13"/>
        <v>48.660075903679108</v>
      </c>
      <c r="J43" s="306">
        <f t="shared" ca="1" si="14"/>
        <v>1.5929867204560784</v>
      </c>
      <c r="K43" s="307">
        <f t="shared" ca="1" si="15"/>
        <v>8.9545941685005399</v>
      </c>
      <c r="L43" s="304">
        <f t="shared" ca="1" si="0"/>
        <v>9.0951835283348341</v>
      </c>
      <c r="M43" s="306">
        <f t="shared" ca="1" si="16"/>
        <v>1.3912079584428934</v>
      </c>
      <c r="N43" s="304">
        <f t="shared" ca="1" si="17"/>
        <v>79.71034444378941</v>
      </c>
      <c r="P43" s="310">
        <f t="shared" ca="1" si="18"/>
        <v>6</v>
      </c>
      <c r="Q43" s="304">
        <f t="shared" ca="1" si="19"/>
        <v>1329.89</v>
      </c>
      <c r="R43" s="306">
        <f t="shared" ca="1" si="20"/>
        <v>0.65355016649877762</v>
      </c>
      <c r="S43" s="307">
        <f t="shared" ca="1" si="21"/>
        <v>9.2891093920063472</v>
      </c>
      <c r="T43" s="304">
        <f t="shared" ca="1" si="1"/>
        <v>91.126163135582274</v>
      </c>
      <c r="U43" s="311">
        <f t="shared" ca="1" si="2"/>
        <v>0</v>
      </c>
      <c r="V43" s="306">
        <f t="shared" ca="1" si="3"/>
        <v>1.2239035531261979</v>
      </c>
      <c r="W43" s="304">
        <f t="shared" ca="1" si="4"/>
        <v>8.9804773282264847</v>
      </c>
      <c r="Y43" s="314" t="str">
        <f t="shared" ca="1" si="22"/>
        <v/>
      </c>
      <c r="Z43" s="315" t="str">
        <f t="shared" ca="1" si="23"/>
        <v/>
      </c>
      <c r="AA43" s="316" t="str">
        <f t="shared" ca="1" si="24"/>
        <v/>
      </c>
      <c r="AC43" s="310" t="e">
        <f t="shared" ca="1" si="25"/>
        <v>#N/A</v>
      </c>
      <c r="AD43" s="323" t="e">
        <f t="shared" ca="1" si="26"/>
        <v>#N/A</v>
      </c>
      <c r="AE43" s="324">
        <f t="shared" ca="1" si="5"/>
        <v>8.9545941685005399</v>
      </c>
      <c r="AG43" s="306">
        <f t="shared" ca="1" si="27"/>
        <v>132.59887310310916</v>
      </c>
      <c r="AH43" s="304">
        <f t="shared" ca="1" si="28"/>
        <v>142.25173100608302</v>
      </c>
    </row>
    <row r="44" spans="1:34" x14ac:dyDescent="0.3">
      <c r="A44" s="347">
        <f t="shared" ca="1" si="6"/>
        <v>0.01</v>
      </c>
      <c r="B44" s="304">
        <f t="shared" ca="1" si="7"/>
        <v>0.40000000000000019</v>
      </c>
      <c r="D44" s="306">
        <f t="shared" ca="1" si="8"/>
        <v>25.437519507893722</v>
      </c>
      <c r="E44" s="307">
        <f t="shared" ca="1" si="9"/>
        <v>130.30742402411971</v>
      </c>
      <c r="F44" s="304">
        <f t="shared" ca="1" si="10"/>
        <v>132.76705974945821</v>
      </c>
      <c r="G44" s="306">
        <f t="shared" ca="1" si="11"/>
        <v>8.9462606735281618</v>
      </c>
      <c r="H44" s="307">
        <f t="shared" ca="1" si="12"/>
        <v>49.180564919905429</v>
      </c>
      <c r="I44" s="304">
        <f t="shared" ca="1" si="13"/>
        <v>49.98763392960052</v>
      </c>
      <c r="J44" s="306">
        <f t="shared" ca="1" si="14"/>
        <v>1.6811774512159654</v>
      </c>
      <c r="K44" s="307">
        <f t="shared" ca="1" si="15"/>
        <v>9.4398844464983878</v>
      </c>
      <c r="L44" s="304">
        <f t="shared" ca="1" si="0"/>
        <v>9.5884188470111784</v>
      </c>
      <c r="M44" s="306">
        <f t="shared" ca="1" si="16"/>
        <v>1.39085741031745</v>
      </c>
      <c r="N44" s="304">
        <f t="shared" ca="1" si="17"/>
        <v>79.690259515685284</v>
      </c>
      <c r="P44" s="310">
        <f t="shared" ca="1" si="18"/>
        <v>6</v>
      </c>
      <c r="Q44" s="304">
        <f t="shared" ca="1" si="19"/>
        <v>1330.89</v>
      </c>
      <c r="R44" s="306">
        <f t="shared" ca="1" si="20"/>
        <v>0.65404159824613928</v>
      </c>
      <c r="S44" s="307">
        <f t="shared" ca="1" si="21"/>
        <v>9.2825689760238852</v>
      </c>
      <c r="T44" s="304">
        <f t="shared" ca="1" si="1"/>
        <v>91.062001654794315</v>
      </c>
      <c r="U44" s="311">
        <f t="shared" ca="1" si="2"/>
        <v>0</v>
      </c>
      <c r="V44" s="306">
        <f t="shared" ca="1" si="3"/>
        <v>1.223844159705245</v>
      </c>
      <c r="W44" s="304">
        <f t="shared" ca="1" si="4"/>
        <v>9.4767176688677655</v>
      </c>
      <c r="Y44" s="314" t="str">
        <f t="shared" ca="1" si="22"/>
        <v/>
      </c>
      <c r="Z44" s="315" t="str">
        <f t="shared" ca="1" si="23"/>
        <v/>
      </c>
      <c r="AA44" s="316" t="str">
        <f t="shared" ca="1" si="24"/>
        <v/>
      </c>
      <c r="AC44" s="310" t="e">
        <f t="shared" ca="1" si="25"/>
        <v>#N/A</v>
      </c>
      <c r="AD44" s="323" t="e">
        <f t="shared" ca="1" si="26"/>
        <v>#N/A</v>
      </c>
      <c r="AE44" s="324">
        <f t="shared" ca="1" si="5"/>
        <v>9.4398844464983878</v>
      </c>
      <c r="AG44" s="306">
        <f t="shared" ca="1" si="27"/>
        <v>132.75549545815352</v>
      </c>
      <c r="AH44" s="304">
        <f t="shared" ca="1" si="28"/>
        <v>142.4077242071842</v>
      </c>
    </row>
    <row r="45" spans="1:34" x14ac:dyDescent="0.3">
      <c r="A45" s="347">
        <f t="shared" ca="1" si="6"/>
        <v>0.01</v>
      </c>
      <c r="B45" s="304">
        <f t="shared" ca="1" si="7"/>
        <v>0.4100000000000002</v>
      </c>
      <c r="D45" s="306">
        <f t="shared" ca="1" si="8"/>
        <v>25.498094437327566</v>
      </c>
      <c r="E45" s="307">
        <f t="shared" ca="1" si="9"/>
        <v>130.36149003040626</v>
      </c>
      <c r="F45" s="304">
        <f t="shared" ca="1" si="10"/>
        <v>132.83173906443665</v>
      </c>
      <c r="G45" s="306">
        <f t="shared" ca="1" si="11"/>
        <v>9.201241617901438</v>
      </c>
      <c r="H45" s="307">
        <f t="shared" ca="1" si="12"/>
        <v>50.484179820209491</v>
      </c>
      <c r="I45" s="304">
        <f t="shared" ca="1" si="13"/>
        <v>51.315838290241814</v>
      </c>
      <c r="J45" s="306">
        <f t="shared" ca="1" si="14"/>
        <v>1.7719149626731134</v>
      </c>
      <c r="K45" s="307">
        <f t="shared" ca="1" si="15"/>
        <v>9.938208170198962</v>
      </c>
      <c r="L45" s="304">
        <f t="shared" ca="1" si="0"/>
        <v>10.094932603497375</v>
      </c>
      <c r="M45" s="306">
        <f t="shared" ca="1" si="16"/>
        <v>1.3905152760647985</v>
      </c>
      <c r="N45" s="304">
        <f t="shared" ca="1" si="17"/>
        <v>79.6706566669815</v>
      </c>
      <c r="P45" s="310">
        <f t="shared" ca="1" si="18"/>
        <v>7</v>
      </c>
      <c r="Q45" s="304">
        <f t="shared" ca="1" si="19"/>
        <v>1331.0486250000001</v>
      </c>
      <c r="R45" s="306">
        <f t="shared" ca="1" si="20"/>
        <v>0.65411955160706448</v>
      </c>
      <c r="S45" s="307">
        <f t="shared" ca="1" si="21"/>
        <v>9.276027780507814</v>
      </c>
      <c r="T45" s="304">
        <f t="shared" ca="1" si="1"/>
        <v>90.997832526781664</v>
      </c>
      <c r="U45" s="311">
        <f t="shared" ca="1" si="2"/>
        <v>0</v>
      </c>
      <c r="V45" s="306">
        <f t="shared" ca="1" si="3"/>
        <v>1.2237831741525798</v>
      </c>
      <c r="W45" s="304">
        <f t="shared" ca="1" si="4"/>
        <v>9.9865158279972732</v>
      </c>
      <c r="Y45" s="314" t="str">
        <f t="shared" ca="1" si="22"/>
        <v/>
      </c>
      <c r="Z45" s="315" t="str">
        <f t="shared" ca="1" si="23"/>
        <v/>
      </c>
      <c r="AA45" s="316" t="str">
        <f t="shared" ca="1" si="24"/>
        <v/>
      </c>
      <c r="AC45" s="310" t="e">
        <f t="shared" ca="1" si="25"/>
        <v>#N/A</v>
      </c>
      <c r="AD45" s="323" t="e">
        <f t="shared" ca="1" si="26"/>
        <v>#N/A</v>
      </c>
      <c r="AE45" s="324">
        <f t="shared" ca="1" si="5"/>
        <v>9.938208170198962</v>
      </c>
      <c r="AG45" s="306">
        <f t="shared" ca="1" si="27"/>
        <v>132.82013572318783</v>
      </c>
      <c r="AH45" s="304">
        <f t="shared" ca="1" si="28"/>
        <v>142.47174961120945</v>
      </c>
    </row>
    <row r="46" spans="1:34" x14ac:dyDescent="0.3">
      <c r="A46" s="347">
        <f t="shared" ca="1" si="6"/>
        <v>0.01</v>
      </c>
      <c r="B46" s="304">
        <f t="shared" ca="1" si="7"/>
        <v>0.42000000000000021</v>
      </c>
      <c r="D46" s="306">
        <f t="shared" ca="1" si="8"/>
        <v>25.540999957843024</v>
      </c>
      <c r="E46" s="307">
        <f t="shared" ca="1" si="9"/>
        <v>130.32504787778757</v>
      </c>
      <c r="F46" s="304">
        <f t="shared" ca="1" si="10"/>
        <v>132.80421974920134</v>
      </c>
      <c r="G46" s="306">
        <f t="shared" ca="1" si="11"/>
        <v>9.4566516174798689</v>
      </c>
      <c r="H46" s="307">
        <f t="shared" ca="1" si="12"/>
        <v>51.787430298987367</v>
      </c>
      <c r="I46" s="304">
        <f t="shared" ca="1" si="13"/>
        <v>52.643766931963171</v>
      </c>
      <c r="J46" s="306">
        <f t="shared" ca="1" si="14"/>
        <v>1.86520442885002</v>
      </c>
      <c r="K46" s="307">
        <f t="shared" ca="1" si="15"/>
        <v>10.449566220794946</v>
      </c>
      <c r="L46" s="304">
        <f t="shared" ca="1" si="0"/>
        <v>10.614726645758735</v>
      </c>
      <c r="M46" s="306">
        <f t="shared" ca="1" si="16"/>
        <v>1.3901811448382291</v>
      </c>
      <c r="N46" s="304">
        <f t="shared" ca="1" si="17"/>
        <v>79.651512357895541</v>
      </c>
      <c r="P46" s="310">
        <f t="shared" ca="1" si="18"/>
        <v>7</v>
      </c>
      <c r="Q46" s="304">
        <f t="shared" ca="1" si="19"/>
        <v>1330.3658750000002</v>
      </c>
      <c r="R46" s="306">
        <f t="shared" ca="1" si="20"/>
        <v>0.65378402658155343</v>
      </c>
      <c r="S46" s="307">
        <f t="shared" ca="1" si="21"/>
        <v>9.2694899402419981</v>
      </c>
      <c r="T46" s="304">
        <f t="shared" ca="1" si="1"/>
        <v>90.933696313774007</v>
      </c>
      <c r="U46" s="311">
        <f t="shared" ca="1" si="2"/>
        <v>0</v>
      </c>
      <c r="V46" s="306">
        <f t="shared" ca="1" si="3"/>
        <v>1.223720596598481</v>
      </c>
      <c r="W46" s="304">
        <f t="shared" ca="1" si="4"/>
        <v>10.509519160915286</v>
      </c>
      <c r="Y46" s="314" t="str">
        <f t="shared" ca="1" si="22"/>
        <v/>
      </c>
      <c r="Z46" s="315" t="str">
        <f t="shared" ca="1" si="23"/>
        <v/>
      </c>
      <c r="AA46" s="316" t="str">
        <f t="shared" ca="1" si="24"/>
        <v/>
      </c>
      <c r="AC46" s="310" t="e">
        <f t="shared" ca="1" si="25"/>
        <v>#N/A</v>
      </c>
      <c r="AD46" s="323" t="e">
        <f t="shared" ca="1" si="26"/>
        <v>#N/A</v>
      </c>
      <c r="AE46" s="324">
        <f t="shared" ca="1" si="5"/>
        <v>10.449566220794946</v>
      </c>
      <c r="AG46" s="306">
        <f t="shared" ca="1" si="27"/>
        <v>132.79257030495353</v>
      </c>
      <c r="AH46" s="304">
        <f t="shared" ca="1" si="28"/>
        <v>142.44358294621892</v>
      </c>
    </row>
    <row r="47" spans="1:34" x14ac:dyDescent="0.3">
      <c r="A47" s="347">
        <f t="shared" ca="1" si="6"/>
        <v>0.01</v>
      </c>
      <c r="B47" s="304">
        <f t="shared" ca="1" si="7"/>
        <v>0.43000000000000022</v>
      </c>
      <c r="D47" s="306">
        <f t="shared" ca="1" si="8"/>
        <v>25.582489819437416</v>
      </c>
      <c r="E47" s="307">
        <f t="shared" ca="1" si="9"/>
        <v>130.28730526075279</v>
      </c>
      <c r="F47" s="304">
        <f t="shared" ca="1" si="10"/>
        <v>132.77516973240969</v>
      </c>
      <c r="G47" s="306">
        <f t="shared" ca="1" si="11"/>
        <v>9.7124765156742434</v>
      </c>
      <c r="H47" s="307">
        <f t="shared" ca="1" si="12"/>
        <v>53.090303351594898</v>
      </c>
      <c r="I47" s="304">
        <f t="shared" ca="1" si="13"/>
        <v>53.97140455863542</v>
      </c>
      <c r="J47" s="306">
        <f t="shared" ca="1" si="14"/>
        <v>1.9610500695157906</v>
      </c>
      <c r="K47" s="307">
        <f t="shared" ca="1" si="15"/>
        <v>10.973954889047857</v>
      </c>
      <c r="L47" s="304">
        <f t="shared" ca="1" si="0"/>
        <v>11.147798136044859</v>
      </c>
      <c r="M47" s="306">
        <f t="shared" ca="1" si="16"/>
        <v>1.3898546354095687</v>
      </c>
      <c r="N47" s="304">
        <f t="shared" ca="1" si="17"/>
        <v>79.632804745662071</v>
      </c>
      <c r="P47" s="310">
        <f t="shared" ca="1" si="18"/>
        <v>7</v>
      </c>
      <c r="Q47" s="304">
        <f t="shared" ca="1" si="19"/>
        <v>1329.683125</v>
      </c>
      <c r="R47" s="306">
        <f t="shared" ca="1" si="20"/>
        <v>0.65344850155604217</v>
      </c>
      <c r="S47" s="307">
        <f t="shared" ca="1" si="21"/>
        <v>9.2629554552264377</v>
      </c>
      <c r="T47" s="304">
        <f t="shared" ca="1" si="1"/>
        <v>90.869593015771358</v>
      </c>
      <c r="U47" s="311">
        <f t="shared" ca="1" si="2"/>
        <v>0</v>
      </c>
      <c r="V47" s="306">
        <f t="shared" ca="1" si="3"/>
        <v>1.2236564277411599</v>
      </c>
      <c r="W47" s="304">
        <f t="shared" ca="1" si="4"/>
        <v>11.04570900377338</v>
      </c>
      <c r="Y47" s="314" t="str">
        <f t="shared" ca="1" si="22"/>
        <v/>
      </c>
      <c r="Z47" s="315" t="str">
        <f t="shared" ca="1" si="23"/>
        <v/>
      </c>
      <c r="AA47" s="316" t="str">
        <f t="shared" ca="1" si="24"/>
        <v/>
      </c>
      <c r="AC47" s="310" t="e">
        <f t="shared" ca="1" si="25"/>
        <v>#N/A</v>
      </c>
      <c r="AD47" s="323" t="e">
        <f t="shared" ca="1" si="26"/>
        <v>#N/A</v>
      </c>
      <c r="AE47" s="324">
        <f t="shared" ca="1" si="5"/>
        <v>10.973954889047857</v>
      </c>
      <c r="AG47" s="306">
        <f t="shared" ca="1" si="27"/>
        <v>132.7634749769536</v>
      </c>
      <c r="AH47" s="304">
        <f t="shared" ca="1" si="28"/>
        <v>142.41389934513475</v>
      </c>
    </row>
    <row r="48" spans="1:34" x14ac:dyDescent="0.3">
      <c r="A48" s="347">
        <f t="shared" ca="1" si="6"/>
        <v>0.01</v>
      </c>
      <c r="B48" s="304">
        <f t="shared" ca="1" si="7"/>
        <v>0.44000000000000022</v>
      </c>
      <c r="D48" s="306">
        <f t="shared" ca="1" si="8"/>
        <v>25.622616613633017</v>
      </c>
      <c r="E48" s="307">
        <f t="shared" ca="1" si="9"/>
        <v>130.24825254599943</v>
      </c>
      <c r="F48" s="304">
        <f t="shared" ca="1" si="10"/>
        <v>132.74458849013646</v>
      </c>
      <c r="G48" s="306">
        <f t="shared" ca="1" si="11"/>
        <v>9.9687026818105728</v>
      </c>
      <c r="H48" s="307">
        <f t="shared" ca="1" si="12"/>
        <v>54.392785877054891</v>
      </c>
      <c r="I48" s="304">
        <f t="shared" ca="1" si="13"/>
        <v>55.298735868240961</v>
      </c>
      <c r="J48" s="306">
        <f t="shared" ca="1" si="14"/>
        <v>2.0594559655032145</v>
      </c>
      <c r="K48" s="307">
        <f t="shared" ca="1" si="15"/>
        <v>11.511370335191106</v>
      </c>
      <c r="L48" s="304">
        <f t="shared" ca="1" si="0"/>
        <v>11.694144084445195</v>
      </c>
      <c r="M48" s="306">
        <f t="shared" ca="1" si="16"/>
        <v>1.3895353933729908</v>
      </c>
      <c r="N48" s="304">
        <f t="shared" ca="1" si="17"/>
        <v>79.614513524322987</v>
      </c>
      <c r="P48" s="310">
        <f t="shared" ca="1" si="18"/>
        <v>7</v>
      </c>
      <c r="Q48" s="304">
        <f t="shared" ca="1" si="19"/>
        <v>1329.0003750000001</v>
      </c>
      <c r="R48" s="306">
        <f t="shared" ca="1" si="20"/>
        <v>0.65311297653053102</v>
      </c>
      <c r="S48" s="307">
        <f t="shared" ca="1" si="21"/>
        <v>9.2564243254611327</v>
      </c>
      <c r="T48" s="304">
        <f t="shared" ca="1" si="1"/>
        <v>90.805522632773716</v>
      </c>
      <c r="U48" s="311">
        <f t="shared" ca="1" si="2"/>
        <v>0</v>
      </c>
      <c r="V48" s="306">
        <f t="shared" ca="1" si="3"/>
        <v>1.2235906683008948</v>
      </c>
      <c r="W48" s="304">
        <f t="shared" ca="1" si="4"/>
        <v>11.595065977117757</v>
      </c>
      <c r="Y48" s="314" t="str">
        <f t="shared" ca="1" si="22"/>
        <v/>
      </c>
      <c r="Z48" s="315" t="str">
        <f t="shared" ca="1" si="23"/>
        <v/>
      </c>
      <c r="AA48" s="316" t="str">
        <f t="shared" ca="1" si="24"/>
        <v/>
      </c>
      <c r="AC48" s="310" t="e">
        <f t="shared" ca="1" si="25"/>
        <v>#N/A</v>
      </c>
      <c r="AD48" s="323" t="e">
        <f t="shared" ca="1" si="26"/>
        <v>#N/A</v>
      </c>
      <c r="AE48" s="324">
        <f t="shared" ca="1" si="5"/>
        <v>11.511370335191106</v>
      </c>
      <c r="AG48" s="306">
        <f t="shared" ca="1" si="27"/>
        <v>132.73284917070191</v>
      </c>
      <c r="AH48" s="304">
        <f t="shared" ca="1" si="28"/>
        <v>142.38269764394894</v>
      </c>
    </row>
    <row r="49" spans="1:34" x14ac:dyDescent="0.3">
      <c r="A49" s="347">
        <f t="shared" ca="1" si="6"/>
        <v>0.01</v>
      </c>
      <c r="B49" s="304">
        <f t="shared" ca="1" si="7"/>
        <v>0.45000000000000023</v>
      </c>
      <c r="D49" s="306">
        <f t="shared" ca="1" si="8"/>
        <v>25.661429194776911</v>
      </c>
      <c r="E49" s="307">
        <f t="shared" ca="1" si="9"/>
        <v>130.20788076572404</v>
      </c>
      <c r="F49" s="304">
        <f t="shared" ca="1" si="10"/>
        <v>132.71247553195425</v>
      </c>
      <c r="G49" s="306">
        <f t="shared" ca="1" si="11"/>
        <v>10.225316973758343</v>
      </c>
      <c r="H49" s="307">
        <f t="shared" ca="1" si="12"/>
        <v>55.69486468471213</v>
      </c>
      <c r="I49" s="304">
        <f t="shared" ca="1" si="13"/>
        <v>56.625745553257175</v>
      </c>
      <c r="J49" s="306">
        <f t="shared" ca="1" si="14"/>
        <v>2.1604260637810593</v>
      </c>
      <c r="K49" s="307">
        <f t="shared" ca="1" si="15"/>
        <v>12.061808587999941</v>
      </c>
      <c r="L49" s="304">
        <f t="shared" ca="1" si="0"/>
        <v>12.25376134868856</v>
      </c>
      <c r="M49" s="306">
        <f t="shared" ca="1" si="16"/>
        <v>1.3892230886722532</v>
      </c>
      <c r="N49" s="304">
        <f t="shared" ca="1" si="17"/>
        <v>79.596619783048638</v>
      </c>
      <c r="P49" s="310">
        <f t="shared" ca="1" si="18"/>
        <v>7</v>
      </c>
      <c r="Q49" s="304">
        <f t="shared" ca="1" si="19"/>
        <v>1328.3176250000001</v>
      </c>
      <c r="R49" s="306">
        <f t="shared" ca="1" si="20"/>
        <v>0.65277745150501987</v>
      </c>
      <c r="S49" s="307">
        <f t="shared" ca="1" si="21"/>
        <v>9.2498965509460831</v>
      </c>
      <c r="T49" s="304">
        <f t="shared" ca="1" si="1"/>
        <v>90.741485164781082</v>
      </c>
      <c r="U49" s="311">
        <f t="shared" ca="1" si="2"/>
        <v>0</v>
      </c>
      <c r="V49" s="306">
        <f t="shared" ca="1" si="3"/>
        <v>1.2235233190201362</v>
      </c>
      <c r="W49" s="304">
        <f t="shared" ca="1" si="4"/>
        <v>12.15756998659084</v>
      </c>
      <c r="Y49" s="314" t="str">
        <f t="shared" ca="1" si="22"/>
        <v/>
      </c>
      <c r="Z49" s="315" t="str">
        <f t="shared" ca="1" si="23"/>
        <v/>
      </c>
      <c r="AA49" s="316" t="str">
        <f t="shared" ca="1" si="24"/>
        <v/>
      </c>
      <c r="AC49" s="310" t="e">
        <f t="shared" ca="1" si="25"/>
        <v>#N/A</v>
      </c>
      <c r="AD49" s="323" t="e">
        <f t="shared" ca="1" si="26"/>
        <v>#N/A</v>
      </c>
      <c r="AE49" s="324">
        <f t="shared" ca="1" si="5"/>
        <v>12.061808587999941</v>
      </c>
      <c r="AG49" s="306">
        <f t="shared" ca="1" si="27"/>
        <v>132.70069235421047</v>
      </c>
      <c r="AH49" s="304">
        <f t="shared" ca="1" si="28"/>
        <v>142.34997675603276</v>
      </c>
    </row>
    <row r="50" spans="1:34" x14ac:dyDescent="0.3">
      <c r="A50" s="347">
        <f t="shared" ca="1" si="6"/>
        <v>0.01</v>
      </c>
      <c r="B50" s="304">
        <f t="shared" ca="1" si="7"/>
        <v>0.46000000000000024</v>
      </c>
      <c r="D50" s="306">
        <f t="shared" ca="1" si="8"/>
        <v>25.698973026935381</v>
      </c>
      <c r="E50" s="307">
        <f t="shared" ca="1" si="9"/>
        <v>130.16618156429189</v>
      </c>
      <c r="F50" s="304">
        <f t="shared" ca="1" si="10"/>
        <v>132.67883040510776</v>
      </c>
      <c r="G50" s="306">
        <f t="shared" ca="1" si="11"/>
        <v>10.482306704027696</v>
      </c>
      <c r="H50" s="307">
        <f t="shared" ca="1" si="12"/>
        <v>56.996526500355046</v>
      </c>
      <c r="I50" s="304">
        <f t="shared" ca="1" si="13"/>
        <v>57.952418301076783</v>
      </c>
      <c r="J50" s="306">
        <f t="shared" ca="1" si="14"/>
        <v>2.2639641821699894</v>
      </c>
      <c r="K50" s="307">
        <f t="shared" ca="1" si="15"/>
        <v>12.625265543925277</v>
      </c>
      <c r="L50" s="304">
        <f t="shared" ca="1" si="0"/>
        <v>12.826646633971619</v>
      </c>
      <c r="M50" s="306">
        <f t="shared" ca="1" si="16"/>
        <v>1.3889174134073956</v>
      </c>
      <c r="N50" s="304">
        <f t="shared" ca="1" si="17"/>
        <v>79.579105880470749</v>
      </c>
      <c r="P50" s="310">
        <f t="shared" ca="1" si="18"/>
        <v>7</v>
      </c>
      <c r="Q50" s="304">
        <f t="shared" ca="1" si="19"/>
        <v>1327.634875</v>
      </c>
      <c r="R50" s="306">
        <f t="shared" ca="1" si="20"/>
        <v>0.6524419264795086</v>
      </c>
      <c r="S50" s="307">
        <f t="shared" ca="1" si="21"/>
        <v>9.2433721316812871</v>
      </c>
      <c r="T50" s="304">
        <f t="shared" ca="1" si="1"/>
        <v>90.677480611793428</v>
      </c>
      <c r="U50" s="311">
        <f t="shared" ca="1" si="2"/>
        <v>0</v>
      </c>
      <c r="V50" s="306">
        <f t="shared" ca="1" si="3"/>
        <v>1.2234543806635969</v>
      </c>
      <c r="W50" s="304">
        <f t="shared" ca="1" si="4"/>
        <v>12.733200223705744</v>
      </c>
      <c r="Y50" s="314" t="str">
        <f t="shared" ca="1" si="22"/>
        <v/>
      </c>
      <c r="Z50" s="315" t="str">
        <f t="shared" ca="1" si="23"/>
        <v/>
      </c>
      <c r="AA50" s="316" t="str">
        <f t="shared" ca="1" si="24"/>
        <v/>
      </c>
      <c r="AC50" s="310" t="e">
        <f t="shared" ca="1" si="25"/>
        <v>#N/A</v>
      </c>
      <c r="AD50" s="323" t="e">
        <f t="shared" ca="1" si="26"/>
        <v>#N/A</v>
      </c>
      <c r="AE50" s="324">
        <f t="shared" ca="1" si="5"/>
        <v>12.625265543925277</v>
      </c>
      <c r="AG50" s="306">
        <f t="shared" ca="1" si="27"/>
        <v>132.66700403589243</v>
      </c>
      <c r="AH50" s="304">
        <f t="shared" ca="1" si="28"/>
        <v>142.31573567233795</v>
      </c>
    </row>
    <row r="51" spans="1:34" x14ac:dyDescent="0.3">
      <c r="A51" s="347">
        <f t="shared" ca="1" si="6"/>
        <v>0.01</v>
      </c>
      <c r="B51" s="304">
        <f t="shared" ca="1" si="7"/>
        <v>0.47000000000000025</v>
      </c>
      <c r="D51" s="306">
        <f t="shared" ca="1" si="8"/>
        <v>25.735290491537754</v>
      </c>
      <c r="E51" s="307">
        <f t="shared" ca="1" si="9"/>
        <v>130.12314715087072</v>
      </c>
      <c r="F51" s="304">
        <f t="shared" ca="1" si="10"/>
        <v>132.64365269823878</v>
      </c>
      <c r="G51" s="306">
        <f t="shared" ca="1" si="11"/>
        <v>10.739659608943073</v>
      </c>
      <c r="H51" s="307">
        <f t="shared" ca="1" si="12"/>
        <v>58.297757971863753</v>
      </c>
      <c r="I51" s="304">
        <f t="shared" ca="1" si="13"/>
        <v>59.278738794461269</v>
      </c>
      <c r="J51" s="306">
        <f t="shared" ca="1" si="14"/>
        <v>2.3700740137348433</v>
      </c>
      <c r="K51" s="307">
        <f t="shared" ca="1" si="15"/>
        <v>13.20173696628637</v>
      </c>
      <c r="L51" s="304">
        <f t="shared" ca="1" si="0"/>
        <v>13.412796492812125</v>
      </c>
      <c r="M51" s="306">
        <f t="shared" ca="1" si="16"/>
        <v>1.3886180798837546</v>
      </c>
      <c r="N51" s="304">
        <f t="shared" ca="1" si="17"/>
        <v>79.561955332899345</v>
      </c>
      <c r="P51" s="310">
        <f t="shared" ca="1" si="18"/>
        <v>7</v>
      </c>
      <c r="Q51" s="304">
        <f t="shared" ca="1" si="19"/>
        <v>1326.952125</v>
      </c>
      <c r="R51" s="306">
        <f t="shared" ca="1" si="20"/>
        <v>0.65210640145399745</v>
      </c>
      <c r="S51" s="307">
        <f t="shared" ca="1" si="21"/>
        <v>9.2368510676667466</v>
      </c>
      <c r="T51" s="304">
        <f t="shared" ca="1" si="1"/>
        <v>90.613508973810795</v>
      </c>
      <c r="U51" s="311">
        <f t="shared" ca="1" si="2"/>
        <v>0</v>
      </c>
      <c r="V51" s="306">
        <f t="shared" ca="1" si="3"/>
        <v>1.2233838540183375</v>
      </c>
      <c r="W51" s="304">
        <f t="shared" ca="1" si="4"/>
        <v>13.321935166694447</v>
      </c>
      <c r="Y51" s="314" t="str">
        <f t="shared" ca="1" si="22"/>
        <v/>
      </c>
      <c r="Z51" s="315" t="str">
        <f t="shared" ca="1" si="23"/>
        <v/>
      </c>
      <c r="AA51" s="316" t="str">
        <f t="shared" ca="1" si="24"/>
        <v/>
      </c>
      <c r="AC51" s="310" t="e">
        <f t="shared" ca="1" si="25"/>
        <v>#N/A</v>
      </c>
      <c r="AD51" s="323" t="e">
        <f t="shared" ca="1" si="26"/>
        <v>#N/A</v>
      </c>
      <c r="AE51" s="324">
        <f t="shared" ca="1" si="5"/>
        <v>13.20173696628637</v>
      </c>
      <c r="AG51" s="306">
        <f t="shared" ca="1" si="27"/>
        <v>132.63178376804566</v>
      </c>
      <c r="AH51" s="304">
        <f t="shared" ca="1" si="28"/>
        <v>142.27997346159111</v>
      </c>
    </row>
    <row r="52" spans="1:34" x14ac:dyDescent="0.3">
      <c r="A52" s="347">
        <f t="shared" ca="1" si="6"/>
        <v>0.01</v>
      </c>
      <c r="B52" s="304">
        <f t="shared" ca="1" si="7"/>
        <v>0.48000000000000026</v>
      </c>
      <c r="D52" s="306">
        <f t="shared" ca="1" si="8"/>
        <v>25.770421160990459</v>
      </c>
      <c r="E52" s="307">
        <f t="shared" ca="1" si="9"/>
        <v>130.0787702572419</v>
      </c>
      <c r="F52" s="304">
        <f t="shared" ca="1" si="10"/>
        <v>132.60694204471781</v>
      </c>
      <c r="G52" s="306">
        <f t="shared" ca="1" si="11"/>
        <v>10.997363820552978</v>
      </c>
      <c r="H52" s="307">
        <f t="shared" ca="1" si="12"/>
        <v>59.598545674436174</v>
      </c>
      <c r="I52" s="304">
        <f t="shared" ca="1" si="13"/>
        <v>60.604691712023936</v>
      </c>
      <c r="J52" s="306">
        <f t="shared" ca="1" si="14"/>
        <v>2.4787591308823234</v>
      </c>
      <c r="K52" s="307">
        <f t="shared" ca="1" si="15"/>
        <v>13.79121848451787</v>
      </c>
      <c r="L52" s="304">
        <f t="shared" ca="1" si="0"/>
        <v>14.012207324923503</v>
      </c>
      <c r="M52" s="306">
        <f t="shared" ca="1" si="16"/>
        <v>1.3883248188717958</v>
      </c>
      <c r="N52" s="304">
        <f t="shared" ca="1" si="17"/>
        <v>79.545152714618368</v>
      </c>
      <c r="P52" s="310">
        <f t="shared" ca="1" si="18"/>
        <v>7</v>
      </c>
      <c r="Q52" s="304">
        <f t="shared" ca="1" si="19"/>
        <v>1326.2693750000001</v>
      </c>
      <c r="R52" s="306">
        <f t="shared" ca="1" si="20"/>
        <v>0.65177087642848641</v>
      </c>
      <c r="S52" s="307">
        <f t="shared" ca="1" si="21"/>
        <v>9.2303333589024614</v>
      </c>
      <c r="T52" s="304">
        <f t="shared" ca="1" si="1"/>
        <v>90.549570250833156</v>
      </c>
      <c r="U52" s="311">
        <f t="shared" ca="1" si="2"/>
        <v>0</v>
      </c>
      <c r="V52" s="306">
        <f t="shared" ca="1" si="3"/>
        <v>1.2233117398938456</v>
      </c>
      <c r="W52" s="304">
        <f t="shared" ca="1" si="4"/>
        <v>13.923752581430362</v>
      </c>
      <c r="Y52" s="314" t="str">
        <f t="shared" ca="1" si="22"/>
        <v/>
      </c>
      <c r="Z52" s="315" t="str">
        <f t="shared" ca="1" si="23"/>
        <v/>
      </c>
      <c r="AA52" s="316" t="str">
        <f t="shared" ca="1" si="24"/>
        <v/>
      </c>
      <c r="AC52" s="310" t="e">
        <f t="shared" ca="1" si="25"/>
        <v>#N/A</v>
      </c>
      <c r="AD52" s="323" t="e">
        <f t="shared" ca="1" si="26"/>
        <v>#N/A</v>
      </c>
      <c r="AE52" s="324">
        <f t="shared" ca="1" si="5"/>
        <v>13.79121848451787</v>
      </c>
      <c r="AG52" s="306">
        <f t="shared" ca="1" si="27"/>
        <v>132.59503114996954</v>
      </c>
      <c r="AH52" s="304">
        <f t="shared" ca="1" si="28"/>
        <v>142.24268927047967</v>
      </c>
    </row>
    <row r="53" spans="1:34" x14ac:dyDescent="0.3">
      <c r="A53" s="347">
        <f t="shared" ca="1" si="6"/>
        <v>0.01</v>
      </c>
      <c r="B53" s="304">
        <f t="shared" ca="1" si="7"/>
        <v>0.49000000000000027</v>
      </c>
      <c r="D53" s="306">
        <f t="shared" ca="1" si="8"/>
        <v>25.804402042688693</v>
      </c>
      <c r="E53" s="307">
        <f t="shared" ca="1" si="9"/>
        <v>130.03304410012382</v>
      </c>
      <c r="F53" s="304">
        <f t="shared" ca="1" si="10"/>
        <v>132.56869812563394</v>
      </c>
      <c r="G53" s="306">
        <f t="shared" ca="1" si="11"/>
        <v>11.255407840979865</v>
      </c>
      <c r="H53" s="307">
        <f t="shared" ca="1" si="12"/>
        <v>60.89887611543741</v>
      </c>
      <c r="I53" s="304">
        <f t="shared" ca="1" si="13"/>
        <v>61.930261728739559</v>
      </c>
      <c r="J53" s="306">
        <f t="shared" ca="1" si="14"/>
        <v>2.5900229891899875</v>
      </c>
      <c r="K53" s="307">
        <f t="shared" ca="1" si="15"/>
        <v>14.393705593467239</v>
      </c>
      <c r="L53" s="304">
        <f t="shared" ca="1" si="0"/>
        <v>14.624875377108097</v>
      </c>
      <c r="M53" s="306">
        <f t="shared" ca="1" si="16"/>
        <v>1.3880373780509505</v>
      </c>
      <c r="N53" s="304">
        <f t="shared" ca="1" si="17"/>
        <v>79.528683568724148</v>
      </c>
      <c r="P53" s="310">
        <f t="shared" ca="1" si="18"/>
        <v>7</v>
      </c>
      <c r="Q53" s="304">
        <f t="shared" ca="1" si="19"/>
        <v>1325.5866250000001</v>
      </c>
      <c r="R53" s="306">
        <f t="shared" ca="1" si="20"/>
        <v>0.65143535140297526</v>
      </c>
      <c r="S53" s="307">
        <f t="shared" ca="1" si="21"/>
        <v>9.2238190053884317</v>
      </c>
      <c r="T53" s="304">
        <f t="shared" ca="1" si="1"/>
        <v>90.485664442860525</v>
      </c>
      <c r="U53" s="311">
        <f t="shared" ca="1" si="2"/>
        <v>0</v>
      </c>
      <c r="V53" s="306">
        <f t="shared" ca="1" si="3"/>
        <v>1.2232380391221078</v>
      </c>
      <c r="W53" s="304">
        <f t="shared" ca="1" si="4"/>
        <v>14.538629522425911</v>
      </c>
      <c r="Y53" s="314" t="str">
        <f t="shared" ca="1" si="22"/>
        <v/>
      </c>
      <c r="Z53" s="315" t="str">
        <f t="shared" ca="1" si="23"/>
        <v/>
      </c>
      <c r="AA53" s="316" t="str">
        <f t="shared" ca="1" si="24"/>
        <v/>
      </c>
      <c r="AC53" s="310" t="e">
        <f t="shared" ca="1" si="25"/>
        <v>#N/A</v>
      </c>
      <c r="AD53" s="323" t="e">
        <f t="shared" ca="1" si="26"/>
        <v>#N/A</v>
      </c>
      <c r="AE53" s="324">
        <f t="shared" ca="1" si="5"/>
        <v>14.393705593467239</v>
      </c>
      <c r="AG53" s="306">
        <f t="shared" ca="1" si="27"/>
        <v>132.55674583076245</v>
      </c>
      <c r="AH53" s="304">
        <f t="shared" ca="1" si="28"/>
        <v>142.20388232383073</v>
      </c>
    </row>
    <row r="54" spans="1:34" x14ac:dyDescent="0.3">
      <c r="A54" s="347">
        <f t="shared" ca="1" si="6"/>
        <v>0.01</v>
      </c>
      <c r="B54" s="304">
        <f t="shared" ca="1" si="7"/>
        <v>0.50000000000000022</v>
      </c>
      <c r="D54" s="306">
        <f t="shared" ca="1" si="8"/>
        <v>25.837267797193668</v>
      </c>
      <c r="E54" s="307">
        <f t="shared" ca="1" si="9"/>
        <v>129.98596234743781</v>
      </c>
      <c r="F54" s="304">
        <f t="shared" ca="1" si="10"/>
        <v>132.52892067248348</v>
      </c>
      <c r="G54" s="306">
        <f t="shared" ca="1" si="11"/>
        <v>11.513780518951801</v>
      </c>
      <c r="H54" s="307">
        <f t="shared" ca="1" si="12"/>
        <v>62.198735738911786</v>
      </c>
      <c r="I54" s="304">
        <f t="shared" ca="1" si="13"/>
        <v>63.255433516478064</v>
      </c>
      <c r="J54" s="306">
        <f t="shared" ca="1" si="14"/>
        <v>2.7038689309896458</v>
      </c>
      <c r="K54" s="307">
        <f t="shared" ca="1" si="15"/>
        <v>15.009193652738984</v>
      </c>
      <c r="L54" s="304">
        <f t="shared" ca="1" si="0"/>
        <v>15.250796743166939</v>
      </c>
      <c r="M54" s="306">
        <f t="shared" ca="1" si="16"/>
        <v>1.3877555206145404</v>
      </c>
      <c r="N54" s="304">
        <f t="shared" ca="1" si="17"/>
        <v>79.512534327193478</v>
      </c>
      <c r="P54" s="310">
        <f t="shared" ca="1" si="18"/>
        <v>7</v>
      </c>
      <c r="Q54" s="304">
        <f t="shared" ca="1" si="19"/>
        <v>1324.903875</v>
      </c>
      <c r="R54" s="306">
        <f t="shared" ca="1" si="20"/>
        <v>0.651099826377464</v>
      </c>
      <c r="S54" s="307">
        <f t="shared" ca="1" si="21"/>
        <v>9.2173080071246574</v>
      </c>
      <c r="T54" s="304">
        <f t="shared" ca="1" si="1"/>
        <v>90.421791549892887</v>
      </c>
      <c r="U54" s="311">
        <f t="shared" ca="1" si="2"/>
        <v>0</v>
      </c>
      <c r="V54" s="306">
        <f t="shared" ca="1" si="3"/>
        <v>1.2231627525576723</v>
      </c>
      <c r="W54" s="304">
        <f t="shared" ca="1" si="4"/>
        <v>15.166542333905593</v>
      </c>
      <c r="Y54" s="314" t="str">
        <f t="shared" ca="1" si="22"/>
        <v/>
      </c>
      <c r="Z54" s="315" t="str">
        <f t="shared" ca="1" si="23"/>
        <v/>
      </c>
      <c r="AA54" s="316" t="str">
        <f t="shared" ca="1" si="24"/>
        <v/>
      </c>
      <c r="AC54" s="310" t="e">
        <f t="shared" ca="1" si="25"/>
        <v>#N/A</v>
      </c>
      <c r="AD54" s="323" t="e">
        <f t="shared" ca="1" si="26"/>
        <v>#N/A</v>
      </c>
      <c r="AE54" s="324">
        <f t="shared" ca="1" si="5"/>
        <v>15.009193652738984</v>
      </c>
      <c r="AG54" s="306">
        <f t="shared" ca="1" si="27"/>
        <v>132.51692751183833</v>
      </c>
      <c r="AH54" s="304">
        <f t="shared" ca="1" si="28"/>
        <v>142.16355192478187</v>
      </c>
    </row>
    <row r="55" spans="1:34" x14ac:dyDescent="0.3">
      <c r="A55" s="347">
        <f t="shared" ca="1" si="6"/>
        <v>0.01</v>
      </c>
      <c r="B55" s="304">
        <f t="shared" ca="1" si="7"/>
        <v>0.51000000000000023</v>
      </c>
      <c r="D55" s="306">
        <f t="shared" ca="1" si="8"/>
        <v>25.869050933795727</v>
      </c>
      <c r="E55" s="307">
        <f t="shared" ca="1" si="9"/>
        <v>129.93751908803034</v>
      </c>
      <c r="F55" s="304">
        <f t="shared" ca="1" si="10"/>
        <v>132.48760946959368</v>
      </c>
      <c r="G55" s="306">
        <f t="shared" ca="1" si="11"/>
        <v>11.772471028289759</v>
      </c>
      <c r="H55" s="307">
        <f t="shared" ca="1" si="12"/>
        <v>63.498110929792091</v>
      </c>
      <c r="I55" s="304">
        <f t="shared" ca="1" si="13"/>
        <v>64.580191744559755</v>
      </c>
      <c r="J55" s="306">
        <f t="shared" ca="1" si="14"/>
        <v>2.8203001887258536</v>
      </c>
      <c r="K55" s="307">
        <f t="shared" ca="1" si="15"/>
        <v>15.637677886082503</v>
      </c>
      <c r="L55" s="304">
        <f t="shared" ca="1" si="0"/>
        <v>15.889967363824283</v>
      </c>
      <c r="M55" s="306">
        <f t="shared" ca="1" si="16"/>
        <v>1.3874790240161448</v>
      </c>
      <c r="N55" s="304">
        <f t="shared" ca="1" si="17"/>
        <v>79.496692239055676</v>
      </c>
      <c r="P55" s="310">
        <f t="shared" ca="1" si="18"/>
        <v>7</v>
      </c>
      <c r="Q55" s="304">
        <f t="shared" ca="1" si="19"/>
        <v>1324.221125</v>
      </c>
      <c r="R55" s="306">
        <f t="shared" ca="1" si="20"/>
        <v>0.65076430135195285</v>
      </c>
      <c r="S55" s="307">
        <f t="shared" ca="1" si="21"/>
        <v>9.2108003641111384</v>
      </c>
      <c r="T55" s="304">
        <f t="shared" ca="1" si="1"/>
        <v>90.357951571930272</v>
      </c>
      <c r="U55" s="311">
        <f t="shared" ca="1" si="2"/>
        <v>0</v>
      </c>
      <c r="V55" s="306">
        <f t="shared" ca="1" si="3"/>
        <v>1.2230858810777121</v>
      </c>
      <c r="W55" s="304">
        <f t="shared" ca="1" si="4"/>
        <v>15.807466650955078</v>
      </c>
      <c r="Y55" s="314" t="str">
        <f t="shared" ca="1" si="22"/>
        <v/>
      </c>
      <c r="Z55" s="315" t="str">
        <f t="shared" ca="1" si="23"/>
        <v/>
      </c>
      <c r="AA55" s="316" t="str">
        <f t="shared" ca="1" si="24"/>
        <v/>
      </c>
      <c r="AC55" s="310" t="e">
        <f t="shared" ca="1" si="25"/>
        <v>#N/A</v>
      </c>
      <c r="AD55" s="323" t="e">
        <f t="shared" ca="1" si="26"/>
        <v>#N/A</v>
      </c>
      <c r="AE55" s="324">
        <f t="shared" ca="1" si="5"/>
        <v>15.637677886082503</v>
      </c>
      <c r="AG55" s="306">
        <f t="shared" ca="1" si="27"/>
        <v>132.47557594919613</v>
      </c>
      <c r="AH55" s="304">
        <f t="shared" ca="1" si="28"/>
        <v>142.12169745494433</v>
      </c>
    </row>
    <row r="56" spans="1:34" x14ac:dyDescent="0.3">
      <c r="A56" s="347">
        <f t="shared" ca="1" si="6"/>
        <v>0.01</v>
      </c>
      <c r="B56" s="304">
        <f t="shared" ca="1" si="7"/>
        <v>0.52000000000000024</v>
      </c>
      <c r="D56" s="306">
        <f t="shared" ca="1" si="8"/>
        <v>25.899781986223491</v>
      </c>
      <c r="E56" s="307">
        <f t="shared" ca="1" si="9"/>
        <v>129.88770880443337</v>
      </c>
      <c r="F56" s="304">
        <f t="shared" ca="1" si="10"/>
        <v>132.44476435631265</v>
      </c>
      <c r="G56" s="306">
        <f t="shared" ca="1" si="11"/>
        <v>12.031468848151995</v>
      </c>
      <c r="H56" s="307">
        <f t="shared" ca="1" si="12"/>
        <v>64.796988017836426</v>
      </c>
      <c r="I56" s="304">
        <f t="shared" ca="1" si="13"/>
        <v>65.904521080330213</v>
      </c>
      <c r="J56" s="306">
        <f t="shared" ca="1" si="14"/>
        <v>2.9393198881080624</v>
      </c>
      <c r="K56" s="307">
        <f t="shared" ca="1" si="15"/>
        <v>16.279153380820645</v>
      </c>
      <c r="L56" s="304">
        <f t="shared" ca="1" si="0"/>
        <v>16.542383026665529</v>
      </c>
      <c r="M56" s="306">
        <f t="shared" ca="1" si="16"/>
        <v>1.387207678840505</v>
      </c>
      <c r="N56" s="304">
        <f t="shared" ca="1" si="17"/>
        <v>79.481145305700295</v>
      </c>
      <c r="P56" s="310">
        <f t="shared" ca="1" si="18"/>
        <v>7</v>
      </c>
      <c r="Q56" s="304">
        <f t="shared" ca="1" si="19"/>
        <v>1323.5383750000001</v>
      </c>
      <c r="R56" s="306">
        <f t="shared" ca="1" si="20"/>
        <v>0.65042877632644169</v>
      </c>
      <c r="S56" s="307">
        <f t="shared" ca="1" si="21"/>
        <v>9.2042960763478732</v>
      </c>
      <c r="T56" s="304">
        <f t="shared" ca="1" si="1"/>
        <v>90.294144508972636</v>
      </c>
      <c r="U56" s="311">
        <f t="shared" ca="1" si="2"/>
        <v>0</v>
      </c>
      <c r="V56" s="306">
        <f t="shared" ca="1" si="3"/>
        <v>1.2230074255820782</v>
      </c>
      <c r="W56" s="304">
        <f t="shared" ca="1" si="4"/>
        <v>16.461377400746674</v>
      </c>
      <c r="Y56" s="314" t="str">
        <f t="shared" ca="1" si="22"/>
        <v/>
      </c>
      <c r="Z56" s="315" t="str">
        <f t="shared" ca="1" si="23"/>
        <v/>
      </c>
      <c r="AA56" s="316" t="str">
        <f t="shared" ca="1" si="24"/>
        <v/>
      </c>
      <c r="AC56" s="310" t="e">
        <f t="shared" ca="1" si="25"/>
        <v>#N/A</v>
      </c>
      <c r="AD56" s="323" t="e">
        <f t="shared" ca="1" si="26"/>
        <v>#N/A</v>
      </c>
      <c r="AE56" s="324">
        <f t="shared" ca="1" si="5"/>
        <v>16.279153380820645</v>
      </c>
      <c r="AG56" s="306">
        <f t="shared" ca="1" si="27"/>
        <v>132.43269095547004</v>
      </c>
      <c r="AH56" s="304">
        <f t="shared" ca="1" si="28"/>
        <v>142.07831837455765</v>
      </c>
    </row>
    <row r="57" spans="1:34" x14ac:dyDescent="0.3">
      <c r="A57" s="347">
        <f t="shared" ca="1" si="6"/>
        <v>0.01</v>
      </c>
      <c r="B57" s="304">
        <f t="shared" ca="1" si="7"/>
        <v>0.53000000000000025</v>
      </c>
      <c r="D57" s="306">
        <f t="shared" ca="1" si="8"/>
        <v>25.92948967087402</v>
      </c>
      <c r="E57" s="307">
        <f t="shared" ca="1" si="9"/>
        <v>129.83652634830244</v>
      </c>
      <c r="F57" s="304">
        <f t="shared" ca="1" si="10"/>
        <v>132.40038522899167</v>
      </c>
      <c r="G57" s="306">
        <f t="shared" ca="1" si="11"/>
        <v>12.290763744860735</v>
      </c>
      <c r="H57" s="307">
        <f t="shared" ca="1" si="12"/>
        <v>66.095353281319447</v>
      </c>
      <c r="I57" s="304">
        <f t="shared" ca="1" si="13"/>
        <v>67.228406189752917</v>
      </c>
      <c r="J57" s="306">
        <f t="shared" ca="1" si="14"/>
        <v>3.0609310510731262</v>
      </c>
      <c r="K57" s="307">
        <f t="shared" ca="1" si="15"/>
        <v>16.933615087316426</v>
      </c>
      <c r="L57" s="304">
        <f t="shared" ca="1" si="0"/>
        <v>17.208039366087412</v>
      </c>
      <c r="M57" s="306">
        <f t="shared" ca="1" si="16"/>
        <v>1.3869412877843819</v>
      </c>
      <c r="N57" s="304">
        <f t="shared" ca="1" si="17"/>
        <v>79.465882222484396</v>
      </c>
      <c r="P57" s="310">
        <f t="shared" ca="1" si="18"/>
        <v>7</v>
      </c>
      <c r="Q57" s="304">
        <f t="shared" ca="1" si="19"/>
        <v>1322.8556249999999</v>
      </c>
      <c r="R57" s="306">
        <f t="shared" ca="1" si="20"/>
        <v>0.65009325130093043</v>
      </c>
      <c r="S57" s="307">
        <f t="shared" ca="1" si="21"/>
        <v>9.1977951438348633</v>
      </c>
      <c r="T57" s="304">
        <f t="shared" ca="1" si="1"/>
        <v>90.230370361020007</v>
      </c>
      <c r="U57" s="311">
        <f t="shared" ca="1" si="2"/>
        <v>0</v>
      </c>
      <c r="V57" s="306">
        <f t="shared" ca="1" si="3"/>
        <v>1.2229273869933477</v>
      </c>
      <c r="W57" s="304">
        <f t="shared" ca="1" si="4"/>
        <v>17.128248803841505</v>
      </c>
      <c r="Y57" s="314" t="str">
        <f t="shared" ca="1" si="22"/>
        <v/>
      </c>
      <c r="Z57" s="315" t="str">
        <f t="shared" ca="1" si="23"/>
        <v/>
      </c>
      <c r="AA57" s="316" t="str">
        <f t="shared" ca="1" si="24"/>
        <v/>
      </c>
      <c r="AC57" s="310" t="e">
        <f t="shared" ca="1" si="25"/>
        <v>#N/A</v>
      </c>
      <c r="AD57" s="323" t="e">
        <f t="shared" ca="1" si="26"/>
        <v>#N/A</v>
      </c>
      <c r="AE57" s="324">
        <f t="shared" ca="1" si="5"/>
        <v>16.933615087316426</v>
      </c>
      <c r="AG57" s="306">
        <f t="shared" ca="1" si="27"/>
        <v>132.38827240178679</v>
      </c>
      <c r="AH57" s="304">
        <f t="shared" ca="1" si="28"/>
        <v>142.03341422263668</v>
      </c>
    </row>
    <row r="58" spans="1:34" x14ac:dyDescent="0.3">
      <c r="A58" s="347">
        <f t="shared" ca="1" si="6"/>
        <v>0.01</v>
      </c>
      <c r="B58" s="304">
        <f t="shared" ca="1" si="7"/>
        <v>0.54000000000000026</v>
      </c>
      <c r="D58" s="306">
        <f t="shared" ca="1" si="8"/>
        <v>25.958201029612919</v>
      </c>
      <c r="E58" s="307">
        <f t="shared" ca="1" si="9"/>
        <v>129.78396691822235</v>
      </c>
      <c r="F58" s="304">
        <f t="shared" ca="1" si="10"/>
        <v>132.35447204278378</v>
      </c>
      <c r="G58" s="306">
        <f t="shared" ca="1" si="11"/>
        <v>12.550345755156863</v>
      </c>
      <c r="H58" s="307">
        <f t="shared" ca="1" si="12"/>
        <v>67.393192950501671</v>
      </c>
      <c r="I58" s="304">
        <f t="shared" ca="1" si="13"/>
        <v>68.551831738017995</v>
      </c>
      <c r="J58" s="306">
        <f t="shared" ca="1" si="14"/>
        <v>3.1851365985732141</v>
      </c>
      <c r="K58" s="307">
        <f t="shared" ca="1" si="15"/>
        <v>17.601057818475532</v>
      </c>
      <c r="L58" s="304">
        <f t="shared" ca="1" si="0"/>
        <v>17.886931863259534</v>
      </c>
      <c r="M58" s="306">
        <f t="shared" ca="1" si="16"/>
        <v>1.3866796647347297</v>
      </c>
      <c r="N58" s="304">
        <f t="shared" ca="1" si="17"/>
        <v>79.450892325915987</v>
      </c>
      <c r="P58" s="310">
        <f t="shared" ca="1" si="18"/>
        <v>7</v>
      </c>
      <c r="Q58" s="304">
        <f t="shared" ca="1" si="19"/>
        <v>1322.172875</v>
      </c>
      <c r="R58" s="306">
        <f t="shared" ca="1" si="20"/>
        <v>0.64975772627541928</v>
      </c>
      <c r="S58" s="307">
        <f t="shared" ca="1" si="21"/>
        <v>9.1912975665721088</v>
      </c>
      <c r="T58" s="304">
        <f t="shared" ca="1" si="1"/>
        <v>90.166629128072387</v>
      </c>
      <c r="U58" s="311">
        <f t="shared" ca="1" si="2"/>
        <v>0</v>
      </c>
      <c r="V58" s="306">
        <f t="shared" ca="1" si="3"/>
        <v>1.2228457662568701</v>
      </c>
      <c r="W58" s="304">
        <f t="shared" ca="1" si="4"/>
        <v>17.808054375568755</v>
      </c>
      <c r="Y58" s="314" t="str">
        <f t="shared" ca="1" si="22"/>
        <v/>
      </c>
      <c r="Z58" s="315" t="str">
        <f t="shared" ca="1" si="23"/>
        <v/>
      </c>
      <c r="AA58" s="316" t="str">
        <f t="shared" ca="1" si="24"/>
        <v/>
      </c>
      <c r="AC58" s="310" t="e">
        <f t="shared" ca="1" si="25"/>
        <v>#N/A</v>
      </c>
      <c r="AD58" s="323" t="e">
        <f t="shared" ca="1" si="26"/>
        <v>#N/A</v>
      </c>
      <c r="AE58" s="324">
        <f t="shared" ca="1" si="5"/>
        <v>17.601057818475532</v>
      </c>
      <c r="AG58" s="306">
        <f t="shared" ca="1" si="27"/>
        <v>132.3423202194503</v>
      </c>
      <c r="AH58" s="304">
        <f t="shared" ca="1" si="28"/>
        <v>141.98698461711044</v>
      </c>
    </row>
    <row r="59" spans="1:34" x14ac:dyDescent="0.3">
      <c r="A59" s="347">
        <f t="shared" ca="1" si="6"/>
        <v>0.01</v>
      </c>
      <c r="B59" s="304">
        <f t="shared" ca="1" si="7"/>
        <v>0.55000000000000027</v>
      </c>
      <c r="D59" s="306">
        <f t="shared" ca="1" si="8"/>
        <v>25.985941558918896</v>
      </c>
      <c r="E59" s="307">
        <f t="shared" ca="1" si="9"/>
        <v>129.73002603960876</v>
      </c>
      <c r="F59" s="304">
        <f t="shared" ca="1" si="10"/>
        <v>132.30702481327708</v>
      </c>
      <c r="G59" s="306">
        <f t="shared" ca="1" si="11"/>
        <v>12.810205170746052</v>
      </c>
      <c r="H59" s="307">
        <f t="shared" ca="1" si="12"/>
        <v>68.690493210897756</v>
      </c>
      <c r="I59" s="304">
        <f t="shared" ca="1" si="13"/>
        <v>69.87478239016562</v>
      </c>
      <c r="J59" s="306">
        <f t="shared" ca="1" si="14"/>
        <v>3.3119393532027286</v>
      </c>
      <c r="K59" s="307">
        <f t="shared" ca="1" si="15"/>
        <v>18.28147624928253</v>
      </c>
      <c r="L59" s="304">
        <f t="shared" ca="1" si="0"/>
        <v>18.579055846096544</v>
      </c>
      <c r="M59" s="306">
        <f t="shared" ca="1" si="16"/>
        <v>1.3864226339332242</v>
      </c>
      <c r="N59" s="304">
        <f t="shared" ca="1" si="17"/>
        <v>79.43616554578486</v>
      </c>
      <c r="P59" s="310">
        <f t="shared" ca="1" si="18"/>
        <v>7</v>
      </c>
      <c r="Q59" s="304">
        <f t="shared" ca="1" si="19"/>
        <v>1321.490125</v>
      </c>
      <c r="R59" s="306">
        <f t="shared" ca="1" si="20"/>
        <v>0.64942220124990824</v>
      </c>
      <c r="S59" s="307">
        <f t="shared" ca="1" si="21"/>
        <v>9.1848033445596098</v>
      </c>
      <c r="T59" s="304">
        <f t="shared" ca="1" si="1"/>
        <v>90.102920810129774</v>
      </c>
      <c r="U59" s="311">
        <f t="shared" ca="1" si="2"/>
        <v>0</v>
      </c>
      <c r="V59" s="306">
        <f t="shared" ca="1" si="3"/>
        <v>1.2227625643408062</v>
      </c>
      <c r="W59" s="304">
        <f t="shared" ca="1" si="4"/>
        <v>18.500766927482122</v>
      </c>
      <c r="Y59" s="314" t="str">
        <f t="shared" ca="1" si="22"/>
        <v/>
      </c>
      <c r="Z59" s="315" t="str">
        <f t="shared" ca="1" si="23"/>
        <v/>
      </c>
      <c r="AA59" s="316" t="str">
        <f t="shared" ca="1" si="24"/>
        <v/>
      </c>
      <c r="AC59" s="310" t="e">
        <f t="shared" ca="1" si="25"/>
        <v>#N/A</v>
      </c>
      <c r="AD59" s="323" t="e">
        <f t="shared" ca="1" si="26"/>
        <v>#N/A</v>
      </c>
      <c r="AE59" s="324">
        <f t="shared" ca="1" si="5"/>
        <v>18.28147624928253</v>
      </c>
      <c r="AG59" s="306">
        <f t="shared" ca="1" si="27"/>
        <v>132.2948344014724</v>
      </c>
      <c r="AH59" s="304">
        <f t="shared" ca="1" si="28"/>
        <v>141.93902925495243</v>
      </c>
    </row>
    <row r="60" spans="1:34" x14ac:dyDescent="0.3">
      <c r="A60" s="347">
        <f t="shared" ca="1" si="6"/>
        <v>0.01</v>
      </c>
      <c r="B60" s="304">
        <f t="shared" ca="1" si="7"/>
        <v>0.56000000000000028</v>
      </c>
      <c r="D60" s="306">
        <f t="shared" ca="1" si="8"/>
        <v>26.012735326912782</v>
      </c>
      <c r="E60" s="307">
        <f t="shared" ca="1" si="9"/>
        <v>129.67469954647254</v>
      </c>
      <c r="F60" s="304">
        <f t="shared" ca="1" si="10"/>
        <v>132.25804361798166</v>
      </c>
      <c r="G60" s="306">
        <f t="shared" ca="1" si="11"/>
        <v>13.07033252401518</v>
      </c>
      <c r="H60" s="307">
        <f t="shared" ca="1" si="12"/>
        <v>69.987240206362486</v>
      </c>
      <c r="I60" s="304">
        <f t="shared" ca="1" si="13"/>
        <v>71.197242811722774</v>
      </c>
      <c r="J60" s="306">
        <f t="shared" ca="1" si="14"/>
        <v>3.4413420416765348</v>
      </c>
      <c r="K60" s="307">
        <f t="shared" ca="1" si="15"/>
        <v>18.97486491636883</v>
      </c>
      <c r="L60" s="304">
        <f t="shared" ca="1" si="0"/>
        <v>19.284406489240343</v>
      </c>
      <c r="M60" s="306">
        <f t="shared" ca="1" si="16"/>
        <v>1.3861700292175947</v>
      </c>
      <c r="N60" s="304">
        <f t="shared" ca="1" si="17"/>
        <v>79.421692361694184</v>
      </c>
      <c r="P60" s="310">
        <f t="shared" ca="1" si="18"/>
        <v>7</v>
      </c>
      <c r="Q60" s="304">
        <f t="shared" ca="1" si="19"/>
        <v>1320.8073750000001</v>
      </c>
      <c r="R60" s="306">
        <f t="shared" ca="1" si="20"/>
        <v>0.64908667622439709</v>
      </c>
      <c r="S60" s="307">
        <f t="shared" ca="1" si="21"/>
        <v>9.1783124777973661</v>
      </c>
      <c r="T60" s="304">
        <f t="shared" ca="1" si="1"/>
        <v>90.039245407192169</v>
      </c>
      <c r="U60" s="311">
        <f t="shared" ca="1" si="2"/>
        <v>0</v>
      </c>
      <c r="V60" s="306">
        <f t="shared" ca="1" si="3"/>
        <v>1.2226777822361634</v>
      </c>
      <c r="W60" s="304">
        <f t="shared" ca="1" si="4"/>
        <v>19.206358568893748</v>
      </c>
      <c r="Y60" s="314" t="str">
        <f t="shared" ca="1" si="22"/>
        <v/>
      </c>
      <c r="Z60" s="315" t="str">
        <f t="shared" ca="1" si="23"/>
        <v/>
      </c>
      <c r="AA60" s="316" t="str">
        <f t="shared" ca="1" si="24"/>
        <v/>
      </c>
      <c r="AC60" s="310" t="e">
        <f t="shared" ca="1" si="25"/>
        <v>#N/A</v>
      </c>
      <c r="AD60" s="323" t="e">
        <f t="shared" ca="1" si="26"/>
        <v>#N/A</v>
      </c>
      <c r="AE60" s="324">
        <f t="shared" ca="1" si="5"/>
        <v>18.97486491636883</v>
      </c>
      <c r="AG60" s="306">
        <f t="shared" ca="1" si="27"/>
        <v>132.2458150039663</v>
      </c>
      <c r="AH60" s="304">
        <f t="shared" ca="1" si="28"/>
        <v>141.88954791230302</v>
      </c>
    </row>
    <row r="61" spans="1:34" x14ac:dyDescent="0.3">
      <c r="A61" s="347">
        <f t="shared" ca="1" si="6"/>
        <v>0.01</v>
      </c>
      <c r="B61" s="304">
        <f t="shared" ca="1" si="7"/>
        <v>0.57000000000000028</v>
      </c>
      <c r="D61" s="306">
        <f t="shared" ca="1" si="8"/>
        <v>26.038605079611774</v>
      </c>
      <c r="E61" s="307">
        <f t="shared" ca="1" si="9"/>
        <v>129.61798356484132</v>
      </c>
      <c r="F61" s="304">
        <f t="shared" ca="1" si="10"/>
        <v>132.2075285976841</v>
      </c>
      <c r="G61" s="306">
        <f t="shared" ca="1" si="11"/>
        <v>13.330718574811298</v>
      </c>
      <c r="H61" s="307">
        <f t="shared" ca="1" si="12"/>
        <v>71.283420042010903</v>
      </c>
      <c r="I61" s="304">
        <f t="shared" ca="1" si="13"/>
        <v>72.519197669352224</v>
      </c>
      <c r="J61" s="306">
        <f t="shared" ca="1" si="14"/>
        <v>3.5733472971706672</v>
      </c>
      <c r="K61" s="307">
        <f t="shared" ca="1" si="15"/>
        <v>19.681218217610695</v>
      </c>
      <c r="L61" s="304">
        <f t="shared" ca="1" si="0"/>
        <v>20.002978814051872</v>
      </c>
      <c r="M61" s="306">
        <f t="shared" ca="1" si="16"/>
        <v>1.3859216933314193</v>
      </c>
      <c r="N61" s="304">
        <f t="shared" ca="1" si="17"/>
        <v>79.407463763514698</v>
      </c>
      <c r="P61" s="310">
        <f t="shared" ca="1" si="18"/>
        <v>7</v>
      </c>
      <c r="Q61" s="304">
        <f t="shared" ca="1" si="19"/>
        <v>1320.1246249999999</v>
      </c>
      <c r="R61" s="306">
        <f t="shared" ca="1" si="20"/>
        <v>0.64875115119888582</v>
      </c>
      <c r="S61" s="307">
        <f t="shared" ca="1" si="21"/>
        <v>9.1718249662853779</v>
      </c>
      <c r="T61" s="304">
        <f t="shared" ca="1" si="1"/>
        <v>89.975602919259558</v>
      </c>
      <c r="U61" s="311">
        <f t="shared" ca="1" si="2"/>
        <v>0</v>
      </c>
      <c r="V61" s="306">
        <f t="shared" ca="1" si="3"/>
        <v>1.2225914209568298</v>
      </c>
      <c r="W61" s="304">
        <f t="shared" ca="1" si="4"/>
        <v>19.92480070848579</v>
      </c>
      <c r="Y61" s="314" t="str">
        <f t="shared" ca="1" si="22"/>
        <v/>
      </c>
      <c r="Z61" s="315" t="str">
        <f t="shared" ca="1" si="23"/>
        <v/>
      </c>
      <c r="AA61" s="316" t="str">
        <f t="shared" ca="1" si="24"/>
        <v/>
      </c>
      <c r="AC61" s="310" t="e">
        <f t="shared" ca="1" si="25"/>
        <v>#N/A</v>
      </c>
      <c r="AD61" s="323" t="e">
        <f t="shared" ca="1" si="26"/>
        <v>#N/A</v>
      </c>
      <c r="AE61" s="324">
        <f t="shared" ca="1" si="5"/>
        <v>19.681218217610695</v>
      </c>
      <c r="AG61" s="306">
        <f t="shared" ca="1" si="27"/>
        <v>132.19526214741614</v>
      </c>
      <c r="AH61" s="304">
        <f t="shared" ca="1" si="28"/>
        <v>141.83854044458315</v>
      </c>
    </row>
    <row r="62" spans="1:34" x14ac:dyDescent="0.3">
      <c r="A62" s="347">
        <f t="shared" ca="1" si="6"/>
        <v>0.01</v>
      </c>
      <c r="B62" s="304">
        <f t="shared" ca="1" si="7"/>
        <v>0.58000000000000029</v>
      </c>
      <c r="D62" s="306">
        <f t="shared" ca="1" si="8"/>
        <v>26.063572337580354</v>
      </c>
      <c r="E62" s="307">
        <f t="shared" ca="1" si="9"/>
        <v>129.55987449765999</v>
      </c>
      <c r="F62" s="304">
        <f t="shared" ca="1" si="10"/>
        <v>132.15547995768353</v>
      </c>
      <c r="G62" s="306">
        <f t="shared" ca="1" si="11"/>
        <v>13.591354298187103</v>
      </c>
      <c r="H62" s="307">
        <f t="shared" ca="1" si="12"/>
        <v>72.579018786987504</v>
      </c>
      <c r="I62" s="304">
        <f t="shared" ca="1" si="13"/>
        <v>73.840631631512565</v>
      </c>
      <c r="J62" s="306">
        <f t="shared" ca="1" si="14"/>
        <v>3.7079576615356591</v>
      </c>
      <c r="K62" s="307">
        <f t="shared" ca="1" si="15"/>
        <v>20.400530411755685</v>
      </c>
      <c r="L62" s="304">
        <f t="shared" ca="1" si="0"/>
        <v>20.734767688612035</v>
      </c>
      <c r="M62" s="306">
        <f t="shared" ca="1" si="16"/>
        <v>1.3856774772950895</v>
      </c>
      <c r="N62" s="304">
        <f t="shared" ca="1" si="17"/>
        <v>79.393471215343581</v>
      </c>
      <c r="P62" s="310">
        <f t="shared" ca="1" si="18"/>
        <v>7</v>
      </c>
      <c r="Q62" s="304">
        <f t="shared" ca="1" si="19"/>
        <v>1319.441875</v>
      </c>
      <c r="R62" s="306">
        <f t="shared" ca="1" si="20"/>
        <v>0.64841562617337467</v>
      </c>
      <c r="S62" s="307">
        <f t="shared" ca="1" si="21"/>
        <v>9.1653408100236433</v>
      </c>
      <c r="T62" s="304">
        <f t="shared" ca="1" si="1"/>
        <v>89.91199334633194</v>
      </c>
      <c r="U62" s="311">
        <f t="shared" ca="1" si="2"/>
        <v>0</v>
      </c>
      <c r="V62" s="306">
        <f t="shared" ca="1" si="3"/>
        <v>1.2225034815395988</v>
      </c>
      <c r="W62" s="304">
        <f t="shared" ca="1" si="4"/>
        <v>20.656064055999643</v>
      </c>
      <c r="Y62" s="314" t="str">
        <f t="shared" ca="1" si="22"/>
        <v/>
      </c>
      <c r="Z62" s="315" t="str">
        <f t="shared" ca="1" si="23"/>
        <v/>
      </c>
      <c r="AA62" s="316" t="str">
        <f t="shared" ca="1" si="24"/>
        <v/>
      </c>
      <c r="AC62" s="310" t="e">
        <f t="shared" ca="1" si="25"/>
        <v>#N/A</v>
      </c>
      <c r="AD62" s="323" t="e">
        <f t="shared" ca="1" si="26"/>
        <v>#N/A</v>
      </c>
      <c r="AE62" s="324">
        <f t="shared" ca="1" si="5"/>
        <v>20.400530411755685</v>
      </c>
      <c r="AG62" s="306">
        <f t="shared" ca="1" si="27"/>
        <v>132.14317601783574</v>
      </c>
      <c r="AH62" s="304">
        <f t="shared" ca="1" si="28"/>
        <v>141.78600678660001</v>
      </c>
    </row>
    <row r="63" spans="1:34" x14ac:dyDescent="0.3">
      <c r="A63" s="347">
        <f t="shared" ca="1" si="6"/>
        <v>0.01</v>
      </c>
      <c r="B63" s="304">
        <f t="shared" ca="1" si="7"/>
        <v>0.5900000000000003</v>
      </c>
      <c r="D63" s="306">
        <f t="shared" ca="1" si="8"/>
        <v>26.087657484001664</v>
      </c>
      <c r="E63" s="307">
        <f t="shared" ca="1" si="9"/>
        <v>129.50036901101214</v>
      </c>
      <c r="F63" s="304">
        <f t="shared" ca="1" si="10"/>
        <v>132.10189796891981</v>
      </c>
      <c r="G63" s="306">
        <f t="shared" ca="1" si="11"/>
        <v>13.85223087302712</v>
      </c>
      <c r="H63" s="307">
        <f t="shared" ca="1" si="12"/>
        <v>73.874022477097625</v>
      </c>
      <c r="I63" s="304">
        <f t="shared" ca="1" si="13"/>
        <v>75.16152936912853</v>
      </c>
      <c r="J63" s="306">
        <f t="shared" ca="1" si="14"/>
        <v>3.8451755873917302</v>
      </c>
      <c r="K63" s="307">
        <f t="shared" ca="1" si="15"/>
        <v>21.132795618076113</v>
      </c>
      <c r="L63" s="304">
        <f t="shared" ca="1" si="0"/>
        <v>21.479767827731525</v>
      </c>
      <c r="M63" s="306">
        <f t="shared" ca="1" si="16"/>
        <v>1.3854372398315329</v>
      </c>
      <c r="N63" s="304">
        <f t="shared" ca="1" si="17"/>
        <v>79.379706622600864</v>
      </c>
      <c r="P63" s="310">
        <f t="shared" ca="1" si="18"/>
        <v>7</v>
      </c>
      <c r="Q63" s="304">
        <f t="shared" ca="1" si="19"/>
        <v>1318.759125</v>
      </c>
      <c r="R63" s="306">
        <f t="shared" ca="1" si="20"/>
        <v>0.64808010114786352</v>
      </c>
      <c r="S63" s="307">
        <f t="shared" ca="1" si="21"/>
        <v>9.1588600090121641</v>
      </c>
      <c r="T63" s="304">
        <f t="shared" ca="1" si="1"/>
        <v>89.84841668840933</v>
      </c>
      <c r="U63" s="311">
        <f t="shared" ca="1" si="2"/>
        <v>0</v>
      </c>
      <c r="V63" s="306">
        <f t="shared" ca="1" si="3"/>
        <v>1.222413965044195</v>
      </c>
      <c r="W63" s="304">
        <f t="shared" ca="1" si="4"/>
        <v>21.400118624003099</v>
      </c>
      <c r="Y63" s="314" t="str">
        <f t="shared" ca="1" si="22"/>
        <v/>
      </c>
      <c r="Z63" s="315" t="str">
        <f t="shared" ca="1" si="23"/>
        <v/>
      </c>
      <c r="AA63" s="316" t="str">
        <f t="shared" ca="1" si="24"/>
        <v/>
      </c>
      <c r="AC63" s="310" t="e">
        <f t="shared" ca="1" si="25"/>
        <v>#N/A</v>
      </c>
      <c r="AD63" s="323" t="e">
        <f t="shared" ca="1" si="26"/>
        <v>#N/A</v>
      </c>
      <c r="AE63" s="324">
        <f t="shared" ca="1" si="5"/>
        <v>21.132795618076113</v>
      </c>
      <c r="AG63" s="306">
        <f t="shared" ca="1" si="27"/>
        <v>132.08955686782619</v>
      </c>
      <c r="AH63" s="304">
        <f t="shared" ca="1" si="28"/>
        <v>141.73194695264354</v>
      </c>
    </row>
    <row r="64" spans="1:34" x14ac:dyDescent="0.3">
      <c r="A64" s="347">
        <f t="shared" ca="1" si="6"/>
        <v>0.01</v>
      </c>
      <c r="B64" s="304">
        <f t="shared" ca="1" si="7"/>
        <v>0.60000000000000031</v>
      </c>
      <c r="D64" s="306">
        <f t="shared" ca="1" si="8"/>
        <v>26.110879845069615</v>
      </c>
      <c r="E64" s="307">
        <f t="shared" ca="1" si="9"/>
        <v>129.43946402152639</v>
      </c>
      <c r="F64" s="304">
        <f t="shared" ca="1" si="10"/>
        <v>132.04678296900568</v>
      </c>
      <c r="G64" s="306">
        <f t="shared" ca="1" si="11"/>
        <v>14.113339671477815</v>
      </c>
      <c r="H64" s="307">
        <f t="shared" ca="1" si="12"/>
        <v>75.168417117312885</v>
      </c>
      <c r="I64" s="304">
        <f t="shared" ca="1" si="13"/>
        <v>76.481875556270495</v>
      </c>
      <c r="J64" s="306">
        <f t="shared" ca="1" si="14"/>
        <v>3.9850034401142547</v>
      </c>
      <c r="K64" s="307">
        <f t="shared" ca="1" si="15"/>
        <v>21.878007816048164</v>
      </c>
      <c r="L64" s="304">
        <f t="shared" ca="1" si="0"/>
        <v>22.237973792969246</v>
      </c>
      <c r="M64" s="306">
        <f t="shared" ca="1" si="16"/>
        <v>1.3852008468410635</v>
      </c>
      <c r="N64" s="304">
        <f t="shared" ca="1" si="17"/>
        <v>79.366162301940491</v>
      </c>
      <c r="P64" s="310">
        <f t="shared" ca="1" si="18"/>
        <v>7</v>
      </c>
      <c r="Q64" s="304">
        <f t="shared" ca="1" si="19"/>
        <v>1318.0763750000001</v>
      </c>
      <c r="R64" s="306">
        <f t="shared" ca="1" si="20"/>
        <v>0.64774457612235237</v>
      </c>
      <c r="S64" s="307">
        <f t="shared" ca="1" si="21"/>
        <v>9.1523825632509404</v>
      </c>
      <c r="T64" s="304">
        <f t="shared" ca="1" si="1"/>
        <v>89.784872945491728</v>
      </c>
      <c r="U64" s="311">
        <f t="shared" ca="1" si="2"/>
        <v>0</v>
      </c>
      <c r="V64" s="306">
        <f t="shared" ca="1" si="3"/>
        <v>1.2223228725532942</v>
      </c>
      <c r="W64" s="304">
        <f t="shared" ca="1" si="4"/>
        <v>22.15693372973519</v>
      </c>
      <c r="Y64" s="314" t="str">
        <f t="shared" ca="1" si="22"/>
        <v/>
      </c>
      <c r="Z64" s="315" t="str">
        <f t="shared" ca="1" si="23"/>
        <v/>
      </c>
      <c r="AA64" s="316" t="str">
        <f t="shared" ca="1" si="24"/>
        <v/>
      </c>
      <c r="AC64" s="310" t="e">
        <f t="shared" ca="1" si="25"/>
        <v>#N/A</v>
      </c>
      <c r="AD64" s="323" t="e">
        <f t="shared" ca="1" si="26"/>
        <v>#N/A</v>
      </c>
      <c r="AE64" s="324">
        <f t="shared" ca="1" si="5"/>
        <v>21.878007816048164</v>
      </c>
      <c r="AG64" s="306">
        <f t="shared" ca="1" si="27"/>
        <v>132.03440501754321</v>
      </c>
      <c r="AH64" s="304">
        <f t="shared" ca="1" si="28"/>
        <v>141.67636103657532</v>
      </c>
    </row>
    <row r="65" spans="1:34" x14ac:dyDescent="0.3">
      <c r="A65" s="347">
        <f t="shared" ca="1" si="6"/>
        <v>0.01</v>
      </c>
      <c r="B65" s="304">
        <f t="shared" ca="1" si="7"/>
        <v>0.61000000000000032</v>
      </c>
      <c r="D65" s="306">
        <f t="shared" ca="1" si="8"/>
        <v>26.133257763491912</v>
      </c>
      <c r="E65" s="307">
        <f t="shared" ca="1" si="9"/>
        <v>129.37715668484449</v>
      </c>
      <c r="F65" s="304">
        <f t="shared" ca="1" si="10"/>
        <v>131.99013536316991</v>
      </c>
      <c r="G65" s="306">
        <f t="shared" ca="1" si="11"/>
        <v>14.374672249112734</v>
      </c>
      <c r="H65" s="307">
        <f t="shared" ca="1" si="12"/>
        <v>76.462188684161333</v>
      </c>
      <c r="I65" s="304">
        <f t="shared" ca="1" si="13"/>
        <v>77.801654870842569</v>
      </c>
      <c r="J65" s="306">
        <f t="shared" ca="1" si="14"/>
        <v>4.1274434997172076</v>
      </c>
      <c r="K65" s="307">
        <f t="shared" ca="1" si="15"/>
        <v>22.636160845055535</v>
      </c>
      <c r="L65" s="304">
        <f t="shared" ca="1" si="0"/>
        <v>23.009379992659149</v>
      </c>
      <c r="M65" s="306">
        <f t="shared" ca="1" si="16"/>
        <v>1.3849681709203874</v>
      </c>
      <c r="N65" s="304">
        <f t="shared" ca="1" si="17"/>
        <v>79.352830953691424</v>
      </c>
      <c r="P65" s="310">
        <f t="shared" ca="1" si="18"/>
        <v>7</v>
      </c>
      <c r="Q65" s="304">
        <f t="shared" ca="1" si="19"/>
        <v>1317.3936249999999</v>
      </c>
      <c r="R65" s="306">
        <f t="shared" ca="1" si="20"/>
        <v>0.64740905109684121</v>
      </c>
      <c r="S65" s="307">
        <f t="shared" ca="1" si="21"/>
        <v>9.145908472739972</v>
      </c>
      <c r="T65" s="304">
        <f t="shared" ca="1" si="1"/>
        <v>89.721362117579133</v>
      </c>
      <c r="U65" s="311">
        <f t="shared" ca="1" si="2"/>
        <v>0</v>
      </c>
      <c r="V65" s="306">
        <f t="shared" ca="1" si="3"/>
        <v>1.2222302051725418</v>
      </c>
      <c r="W65" s="304">
        <f t="shared" ca="1" si="4"/>
        <v>22.926477997029089</v>
      </c>
      <c r="Y65" s="314" t="str">
        <f t="shared" ca="1" si="22"/>
        <v/>
      </c>
      <c r="Z65" s="315" t="str">
        <f t="shared" ca="1" si="23"/>
        <v/>
      </c>
      <c r="AA65" s="316" t="str">
        <f t="shared" ca="1" si="24"/>
        <v/>
      </c>
      <c r="AC65" s="310" t="e">
        <f t="shared" ca="1" si="25"/>
        <v>#N/A</v>
      </c>
      <c r="AD65" s="323" t="e">
        <f t="shared" ca="1" si="26"/>
        <v>#N/A</v>
      </c>
      <c r="AE65" s="324">
        <f t="shared" ca="1" si="5"/>
        <v>22.636160845055535</v>
      </c>
      <c r="AG65" s="306">
        <f t="shared" ca="1" si="27"/>
        <v>131.9777208555814</v>
      </c>
      <c r="AH65" s="304">
        <f t="shared" ca="1" si="28"/>
        <v>141.6192492119082</v>
      </c>
    </row>
    <row r="66" spans="1:34" x14ac:dyDescent="0.3">
      <c r="A66" s="347">
        <f t="shared" ca="1" si="6"/>
        <v>0.01</v>
      </c>
      <c r="B66" s="304">
        <f t="shared" ca="1" si="7"/>
        <v>0.62000000000000033</v>
      </c>
      <c r="D66" s="306">
        <f t="shared" ca="1" si="8"/>
        <v>26.154808665801912</v>
      </c>
      <c r="E66" s="307">
        <f t="shared" ca="1" si="9"/>
        <v>129.3134443850449</v>
      </c>
      <c r="F66" s="304">
        <f t="shared" ca="1" si="10"/>
        <v>131.93195562512068</v>
      </c>
      <c r="G66" s="306">
        <f t="shared" ca="1" si="11"/>
        <v>14.636220335770753</v>
      </c>
      <c r="H66" s="307">
        <f t="shared" ca="1" si="12"/>
        <v>77.755323128011781</v>
      </c>
      <c r="I66" s="304">
        <f t="shared" ca="1" si="13"/>
        <v>79.120851995278414</v>
      </c>
      <c r="J66" s="306">
        <f t="shared" ca="1" si="14"/>
        <v>4.2724979626416246</v>
      </c>
      <c r="K66" s="307">
        <f t="shared" ca="1" si="15"/>
        <v>23.407248404116402</v>
      </c>
      <c r="L66" s="304">
        <f t="shared" ca="1" si="0"/>
        <v>23.79398068194531</v>
      </c>
      <c r="M66" s="306">
        <f t="shared" ca="1" si="16"/>
        <v>1.3847390909213737</v>
      </c>
      <c r="N66" s="304">
        <f t="shared" ca="1" si="17"/>
        <v>79.339705636577079</v>
      </c>
      <c r="P66" s="310">
        <f t="shared" ca="1" si="18"/>
        <v>7</v>
      </c>
      <c r="Q66" s="304">
        <f t="shared" ca="1" si="19"/>
        <v>1316.710875</v>
      </c>
      <c r="R66" s="306">
        <f t="shared" ca="1" si="20"/>
        <v>0.64707352607133006</v>
      </c>
      <c r="S66" s="307">
        <f t="shared" ca="1" si="21"/>
        <v>9.139437737479259</v>
      </c>
      <c r="T66" s="304">
        <f t="shared" ca="1" si="1"/>
        <v>89.657884204671532</v>
      </c>
      <c r="U66" s="311">
        <f t="shared" ca="1" si="2"/>
        <v>0</v>
      </c>
      <c r="V66" s="306">
        <f t="shared" ca="1" si="3"/>
        <v>1.2221359640305645</v>
      </c>
      <c r="W66" s="304">
        <f t="shared" ca="1" si="4"/>
        <v>23.708719358312678</v>
      </c>
      <c r="Y66" s="314" t="str">
        <f t="shared" ca="1" si="22"/>
        <v/>
      </c>
      <c r="Z66" s="315" t="str">
        <f t="shared" ca="1" si="23"/>
        <v/>
      </c>
      <c r="AA66" s="316" t="str">
        <f t="shared" ca="1" si="24"/>
        <v/>
      </c>
      <c r="AC66" s="310" t="e">
        <f t="shared" ca="1" si="25"/>
        <v>#N/A</v>
      </c>
      <c r="AD66" s="323" t="e">
        <f t="shared" ca="1" si="26"/>
        <v>#N/A</v>
      </c>
      <c r="AE66" s="324">
        <f t="shared" ca="1" si="5"/>
        <v>23.407248404116402</v>
      </c>
      <c r="AG66" s="306">
        <f t="shared" ca="1" si="27"/>
        <v>131.91950483978326</v>
      </c>
      <c r="AH66" s="304">
        <f t="shared" ca="1" si="28"/>
        <v>141.56061173187757</v>
      </c>
    </row>
    <row r="67" spans="1:34" x14ac:dyDescent="0.3">
      <c r="A67" s="347">
        <f t="shared" ca="1" si="6"/>
        <v>0.01</v>
      </c>
      <c r="B67" s="304">
        <f t="shared" ca="1" si="7"/>
        <v>0.63000000000000034</v>
      </c>
      <c r="D67" s="306">
        <f t="shared" ca="1" si="8"/>
        <v>26.175549124095451</v>
      </c>
      <c r="E67" s="307">
        <f t="shared" ca="1" si="9"/>
        <v>129.2483247249269</v>
      </c>
      <c r="F67" s="304">
        <f t="shared" ca="1" si="10"/>
        <v>131.87224429783581</v>
      </c>
      <c r="G67" s="306">
        <f t="shared" ca="1" si="11"/>
        <v>14.897975827011708</v>
      </c>
      <c r="H67" s="307">
        <f t="shared" ca="1" si="12"/>
        <v>79.047806375261047</v>
      </c>
      <c r="I67" s="304">
        <f t="shared" ca="1" si="13"/>
        <v>80.439451617244288</v>
      </c>
      <c r="J67" s="306">
        <f t="shared" ca="1" si="14"/>
        <v>4.4201689434555371</v>
      </c>
      <c r="K67" s="307">
        <f t="shared" ca="1" si="15"/>
        <v>24.191264051632764</v>
      </c>
      <c r="L67" s="304">
        <f t="shared" ca="1" si="0"/>
        <v>24.591769962825133</v>
      </c>
      <c r="M67" s="306">
        <f t="shared" ca="1" si="16"/>
        <v>1.3845134915457016</v>
      </c>
      <c r="N67" s="304">
        <f t="shared" ca="1" si="17"/>
        <v>79.326779744490281</v>
      </c>
      <c r="P67" s="310">
        <f t="shared" ca="1" si="18"/>
        <v>7</v>
      </c>
      <c r="Q67" s="304">
        <f t="shared" ca="1" si="19"/>
        <v>1316.028125</v>
      </c>
      <c r="R67" s="306">
        <f t="shared" ca="1" si="20"/>
        <v>0.64673800104581891</v>
      </c>
      <c r="S67" s="307">
        <f t="shared" ca="1" si="21"/>
        <v>9.1329703574688015</v>
      </c>
      <c r="T67" s="304">
        <f t="shared" ca="1" si="1"/>
        <v>89.594439206768953</v>
      </c>
      <c r="U67" s="311">
        <f t="shared" ca="1" si="2"/>
        <v>0</v>
      </c>
      <c r="V67" s="306">
        <f t="shared" ca="1" si="3"/>
        <v>1.2220401502789831</v>
      </c>
      <c r="W67" s="304">
        <f t="shared" ca="1" si="4"/>
        <v>24.503625056687053</v>
      </c>
      <c r="Y67" s="314" t="str">
        <f t="shared" ca="1" si="22"/>
        <v/>
      </c>
      <c r="Z67" s="315" t="str">
        <f t="shared" ca="1" si="23"/>
        <v/>
      </c>
      <c r="AA67" s="316" t="str">
        <f t="shared" ca="1" si="24"/>
        <v/>
      </c>
      <c r="AC67" s="310" t="e">
        <f t="shared" ca="1" si="25"/>
        <v>#N/A</v>
      </c>
      <c r="AD67" s="323" t="e">
        <f t="shared" ca="1" si="26"/>
        <v>#N/A</v>
      </c>
      <c r="AE67" s="324">
        <f t="shared" ca="1" si="5"/>
        <v>24.191264051632764</v>
      </c>
      <c r="AG67" s="306">
        <f t="shared" ca="1" si="27"/>
        <v>131.85975749797947</v>
      </c>
      <c r="AH67" s="304">
        <f t="shared" ca="1" si="28"/>
        <v>141.50044892950393</v>
      </c>
    </row>
    <row r="68" spans="1:34" x14ac:dyDescent="0.3">
      <c r="A68" s="347">
        <f t="shared" ca="1" si="6"/>
        <v>0.01</v>
      </c>
      <c r="B68" s="304">
        <f t="shared" ca="1" si="7"/>
        <v>0.64000000000000035</v>
      </c>
      <c r="D68" s="306">
        <f t="shared" ca="1" si="8"/>
        <v>26.195494912738329</v>
      </c>
      <c r="E68" s="307">
        <f t="shared" ca="1" si="9"/>
        <v>129.18179551707075</v>
      </c>
      <c r="F68" s="304">
        <f t="shared" ca="1" si="10"/>
        <v>131.81100199428568</v>
      </c>
      <c r="G68" s="306">
        <f t="shared" ca="1" si="11"/>
        <v>15.159930776139092</v>
      </c>
      <c r="H68" s="307">
        <f t="shared" ca="1" si="12"/>
        <v>80.339624330431761</v>
      </c>
      <c r="I68" s="304">
        <f t="shared" ca="1" si="13"/>
        <v>81.757438430348543</v>
      </c>
      <c r="J68" s="306">
        <f t="shared" ca="1" si="14"/>
        <v>4.5704584764712912</v>
      </c>
      <c r="K68" s="307">
        <f t="shared" ca="1" si="15"/>
        <v>24.988201205161229</v>
      </c>
      <c r="L68" s="304">
        <f t="shared" ref="L68:L131" ca="1" si="29">SQRT(pos_x^2+pos_z^2)</f>
        <v>25.402741784200565</v>
      </c>
      <c r="M68" s="306">
        <f t="shared" ca="1" si="16"/>
        <v>1.3842912629719306</v>
      </c>
      <c r="N68" s="304">
        <f t="shared" ca="1" si="17"/>
        <v>79.314046985125998</v>
      </c>
      <c r="P68" s="310">
        <f t="shared" ca="1" si="18"/>
        <v>7</v>
      </c>
      <c r="Q68" s="304">
        <f t="shared" ca="1" si="19"/>
        <v>1315.3453749999999</v>
      </c>
      <c r="R68" s="306">
        <f t="shared" ca="1" si="20"/>
        <v>0.64640247602030765</v>
      </c>
      <c r="S68" s="307">
        <f t="shared" ca="1" si="21"/>
        <v>9.1265063327085976</v>
      </c>
      <c r="T68" s="304">
        <f t="shared" ref="T68:T131" ca="1" si="30">m*g</f>
        <v>89.53102712387134</v>
      </c>
      <c r="U68" s="311">
        <f t="shared" ref="U68:U131" ca="1" si="31">IF(pos_xz&lt;L_rampe,Poids*COS(Beta),0)</f>
        <v>0</v>
      </c>
      <c r="V68" s="306">
        <f t="shared" ref="V68:V131" ca="1" si="32">Rho_moyen*(20000-Alt_rampe-pos_z)/(20000+Alt_rampe+pos_z)</f>
        <v>1.2219427650924179</v>
      </c>
      <c r="W68" s="304">
        <f t="shared" ref="W68:W131" ca="1" si="33">1/2*Rho*Sref*Cx*vit_xz^2</f>
        <v>25.311161648082692</v>
      </c>
      <c r="Y68" s="314" t="str">
        <f t="shared" ca="1" si="22"/>
        <v/>
      </c>
      <c r="Z68" s="315" t="str">
        <f t="shared" ca="1" si="23"/>
        <v/>
      </c>
      <c r="AA68" s="316" t="str">
        <f t="shared" ca="1" si="24"/>
        <v/>
      </c>
      <c r="AC68" s="310" t="e">
        <f t="shared" ca="1" si="25"/>
        <v>#N/A</v>
      </c>
      <c r="AD68" s="323" t="e">
        <f t="shared" ca="1" si="26"/>
        <v>#N/A</v>
      </c>
      <c r="AE68" s="324">
        <f t="shared" ref="AE68:AE131" ca="1" si="34">IF(t&lt;T_para, pos_z, NA())</f>
        <v>24.988201205161229</v>
      </c>
      <c r="AG68" s="306">
        <f t="shared" ca="1" si="27"/>
        <v>131.79847942866616</v>
      </c>
      <c r="AH68" s="304">
        <f t="shared" ca="1" si="28"/>
        <v>141.4387612176468</v>
      </c>
    </row>
    <row r="69" spans="1:34" x14ac:dyDescent="0.3">
      <c r="A69" s="347">
        <f t="shared" ref="A69:A132" ca="1" si="35">IF(B68+0.01&lt;=T_ini+ROUNDUP(Temps_fin_propu,0), 0.01, IF(K68&gt;0, 0.1, 0.0001))</f>
        <v>0.01</v>
      </c>
      <c r="B69" s="304">
        <f t="shared" ref="B69:B132" ca="1" si="36">B68+pas</f>
        <v>0.65000000000000036</v>
      </c>
      <c r="D69" s="306">
        <f t="shared" ref="D69:D132" ca="1" si="37">IF(AND(L68&lt;L_rampe,Poussee&lt;Poids*SIN(M68)),0,(-W68+Poussee)/m*COS(M68)-U68/m*SIN(M68))</f>
        <v>26.214661060528933</v>
      </c>
      <c r="E69" s="307">
        <f t="shared" ref="E69:E132" ca="1" si="38">IF(AND(L68&lt;L_rampe,Poussee&lt;Poids*SIN(M68)),0,(-W68+Poussee)/m*SIN(M68)+U68/m*COS(M68)-Poids/m)</f>
        <v>129.11385477559983</v>
      </c>
      <c r="F69" s="304">
        <f t="shared" ref="F69:F132" ca="1" si="39">SQRT(acc_x^2+acc_z^2)</f>
        <v>131.74822939809513</v>
      </c>
      <c r="G69" s="306">
        <f t="shared" ref="G69:G132" ca="1" si="40">G68+acc_x*pas</f>
        <v>15.42207738674438</v>
      </c>
      <c r="H69" s="307">
        <f t="shared" ref="H69:H132" ca="1" si="41">H68+acc_z*pas</f>
        <v>81.630762878187753</v>
      </c>
      <c r="I69" s="304">
        <f t="shared" ref="I69:I132" ca="1" si="42">SQRT(vit_x^2+vit_z^2)</f>
        <v>83.074797134857022</v>
      </c>
      <c r="J69" s="306">
        <f t="shared" ref="J69:J132" ca="1" si="43">J68+0.5*(vit_x+G68)*pas*(K68&gt;=0)</f>
        <v>4.7233685172857083</v>
      </c>
      <c r="K69" s="307">
        <f t="shared" ref="K69:K132" ca="1" si="44">K68+0.5*(vit_z+H68)*pas</f>
        <v>25.798053141204328</v>
      </c>
      <c r="L69" s="304">
        <f t="shared" ca="1" si="29"/>
        <v>26.22688994193723</v>
      </c>
      <c r="M69" s="306">
        <f t="shared" ref="M69:M132" ca="1" si="45">IF(AND(L68&gt;L_rampe,G69&gt;0),ATAN2(G69,H69),$M$4)</f>
        <v>1.3840723005119229</v>
      </c>
      <c r="N69" s="304">
        <f t="shared" ref="N69:N132" ca="1" si="46">DEGREES(Beta)</f>
        <v>79.301501360295745</v>
      </c>
      <c r="P69" s="310">
        <f t="shared" ref="P69:P132" ca="1" si="47">MATCH(t-pas/2-T_ini,CdP_t)</f>
        <v>7</v>
      </c>
      <c r="Q69" s="304">
        <f t="shared" ref="Q69:Q132" ca="1" si="48">(INDEX(CdP,2,i_P+1)-INDEX(CdP,2,i_P+0))/(INDEX(CdP,1,i_P+1)-INDEX(CdP,1,i_P+0))*(t-pas/2-T_ini-INDEX(CdP,1,i_P+0))+INDEX(CdP,2,i_P+0)</f>
        <v>1314.6626249999999</v>
      </c>
      <c r="R69" s="306">
        <f t="shared" ref="R69:R132" ca="1" si="49">Poussee/(g*ISP)</f>
        <v>0.6460669509947965</v>
      </c>
      <c r="S69" s="307">
        <f t="shared" ref="S69:S132" ca="1" si="50">S68-Débit*pas</f>
        <v>9.1200456631986491</v>
      </c>
      <c r="T69" s="304">
        <f t="shared" ca="1" si="30"/>
        <v>89.467647955978748</v>
      </c>
      <c r="U69" s="311">
        <f t="shared" ca="1" si="31"/>
        <v>0</v>
      </c>
      <c r="V69" s="306">
        <f t="shared" ca="1" si="32"/>
        <v>1.2218438096684976</v>
      </c>
      <c r="W69" s="304">
        <f t="shared" ca="1" si="33"/>
        <v>26.131295003493268</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25.798053141204328</v>
      </c>
      <c r="AG69" s="306">
        <f t="shared" ref="AG69:AG132" ca="1" si="56">IF(AND(L68&lt;L_rampe,Poussee&lt;Poids*SIN(M68)),0,(-W68+Poussee)/m-Poids*SIN(M68)/m)</f>
        <v>131.73567130162428</v>
      </c>
      <c r="AH69" s="304">
        <f t="shared" ref="AH69:AH132" ca="1" si="57">IF(AND(L68&lt;L_rampe,Poussee&lt;Poids*SIN(M68)), g*SIN(M68), (-W68+Poussee)/m)</f>
        <v>141.37554908904991</v>
      </c>
    </row>
    <row r="70" spans="1:34" x14ac:dyDescent="0.3">
      <c r="A70" s="347">
        <f t="shared" ca="1" si="35"/>
        <v>0.01</v>
      </c>
      <c r="B70" s="304">
        <f t="shared" ca="1" si="36"/>
        <v>0.66000000000000036</v>
      </c>
      <c r="D70" s="306">
        <f t="shared" ca="1" si="37"/>
        <v>26.233061898746893</v>
      </c>
      <c r="E70" s="307">
        <f t="shared" ca="1" si="38"/>
        <v>129.04450070857709</v>
      </c>
      <c r="F70" s="304">
        <f t="shared" ca="1" si="39"/>
        <v>131.68392726414805</v>
      </c>
      <c r="G70" s="306">
        <f t="shared" ca="1" si="40"/>
        <v>15.68440800573185</v>
      </c>
      <c r="H70" s="307">
        <f t="shared" ca="1" si="41"/>
        <v>82.921207885273517</v>
      </c>
      <c r="I70" s="304">
        <f t="shared" ca="1" si="42"/>
        <v>84.391512438414168</v>
      </c>
      <c r="J70" s="306">
        <f t="shared" ca="1" si="43"/>
        <v>4.8789009442480893</v>
      </c>
      <c r="K70" s="307">
        <f t="shared" ca="1" si="44"/>
        <v>26.620812995021634</v>
      </c>
      <c r="L70" s="304">
        <f t="shared" ca="1" si="29"/>
        <v>27.064208078931436</v>
      </c>
      <c r="M70" s="306">
        <f t="shared" ca="1" si="45"/>
        <v>1.3838565042938864</v>
      </c>
      <c r="N70" s="304">
        <f t="shared" ca="1" si="46"/>
        <v>79.289137147767377</v>
      </c>
      <c r="P70" s="310">
        <f t="shared" ca="1" si="47"/>
        <v>7</v>
      </c>
      <c r="Q70" s="304">
        <f t="shared" ca="1" si="48"/>
        <v>1313.979875</v>
      </c>
      <c r="R70" s="306">
        <f t="shared" ca="1" si="49"/>
        <v>0.64573142596928534</v>
      </c>
      <c r="S70" s="307">
        <f t="shared" ca="1" si="50"/>
        <v>9.113588348938956</v>
      </c>
      <c r="T70" s="304">
        <f t="shared" ca="1" si="30"/>
        <v>89.404301703091164</v>
      </c>
      <c r="U70" s="311">
        <f t="shared" ca="1" si="31"/>
        <v>0</v>
      </c>
      <c r="V70" s="306">
        <f t="shared" ca="1" si="32"/>
        <v>1.2217432852278562</v>
      </c>
      <c r="W70" s="304">
        <f t="shared" ca="1" si="33"/>
        <v>26.963990311286967</v>
      </c>
      <c r="Y70" s="314" t="str">
        <f t="shared" ca="1" si="51"/>
        <v/>
      </c>
      <c r="Z70" s="315" t="str">
        <f t="shared" ca="1" si="52"/>
        <v/>
      </c>
      <c r="AA70" s="316" t="str">
        <f t="shared" ca="1" si="53"/>
        <v/>
      </c>
      <c r="AC70" s="310" t="e">
        <f t="shared" ca="1" si="54"/>
        <v>#N/A</v>
      </c>
      <c r="AD70" s="323" t="e">
        <f t="shared" ca="1" si="55"/>
        <v>#N/A</v>
      </c>
      <c r="AE70" s="324">
        <f t="shared" ca="1" si="34"/>
        <v>26.620812995021634</v>
      </c>
      <c r="AG70" s="306">
        <f t="shared" ca="1" si="56"/>
        <v>131.67133385848555</v>
      </c>
      <c r="AH70" s="304">
        <f t="shared" ca="1" si="57"/>
        <v>141.31081311637735</v>
      </c>
    </row>
    <row r="71" spans="1:34" x14ac:dyDescent="0.3">
      <c r="A71" s="347">
        <f t="shared" ca="1" si="35"/>
        <v>0.01</v>
      </c>
      <c r="B71" s="304">
        <f t="shared" ca="1" si="36"/>
        <v>0.67000000000000037</v>
      </c>
      <c r="D71" s="306">
        <f t="shared" ca="1" si="37"/>
        <v>26.250711105470852</v>
      </c>
      <c r="E71" s="307">
        <f t="shared" ca="1" si="38"/>
        <v>128.97373171097809</v>
      </c>
      <c r="F71" s="304">
        <f t="shared" ca="1" si="39"/>
        <v>131.61809641914081</v>
      </c>
      <c r="G71" s="306">
        <f t="shared" ca="1" si="40"/>
        <v>15.946915116786558</v>
      </c>
      <c r="H71" s="307">
        <f t="shared" ca="1" si="41"/>
        <v>84.2109452023833</v>
      </c>
      <c r="I71" s="304">
        <f t="shared" ca="1" si="42"/>
        <v>85.707569056768833</v>
      </c>
      <c r="J71" s="306">
        <f t="shared" ca="1" si="43"/>
        <v>5.0370575598606813</v>
      </c>
      <c r="K71" s="307">
        <f t="shared" ca="1" si="44"/>
        <v>27.456473760459918</v>
      </c>
      <c r="L71" s="304">
        <f t="shared" ca="1" si="29"/>
        <v>27.914689685184996</v>
      </c>
      <c r="M71" s="306">
        <f t="shared" ca="1" si="45"/>
        <v>1.3836437789695903</v>
      </c>
      <c r="N71" s="304">
        <f t="shared" ca="1" si="46"/>
        <v>79.276948884489656</v>
      </c>
      <c r="P71" s="310">
        <f t="shared" ca="1" si="47"/>
        <v>7</v>
      </c>
      <c r="Q71" s="304">
        <f t="shared" ca="1" si="48"/>
        <v>1313.2971250000001</v>
      </c>
      <c r="R71" s="306">
        <f t="shared" ca="1" si="49"/>
        <v>0.6453959009437743</v>
      </c>
      <c r="S71" s="307">
        <f t="shared" ca="1" si="50"/>
        <v>9.1071343899295183</v>
      </c>
      <c r="T71" s="304">
        <f t="shared" ca="1" si="30"/>
        <v>89.340988365208574</v>
      </c>
      <c r="U71" s="311">
        <f t="shared" ca="1" si="31"/>
        <v>0</v>
      </c>
      <c r="V71" s="306">
        <f t="shared" ca="1" si="32"/>
        <v>1.2216411930141373</v>
      </c>
      <c r="W71" s="304">
        <f t="shared" ca="1" si="33"/>
        <v>27.809212079595149</v>
      </c>
      <c r="Y71" s="314" t="str">
        <f t="shared" ca="1" si="51"/>
        <v/>
      </c>
      <c r="Z71" s="315" t="str">
        <f t="shared" ca="1" si="52"/>
        <v/>
      </c>
      <c r="AA71" s="316" t="str">
        <f t="shared" ca="1" si="53"/>
        <v/>
      </c>
      <c r="AC71" s="310" t="e">
        <f t="shared" ca="1" si="54"/>
        <v>#N/A</v>
      </c>
      <c r="AD71" s="323" t="e">
        <f t="shared" ca="1" si="55"/>
        <v>#N/A</v>
      </c>
      <c r="AE71" s="324">
        <f t="shared" ca="1" si="34"/>
        <v>27.456473760459918</v>
      </c>
      <c r="AG71" s="306">
        <f t="shared" ca="1" si="56"/>
        <v>131.60546791324947</v>
      </c>
      <c r="AH71" s="304">
        <f t="shared" ca="1" si="57"/>
        <v>141.2445539522414</v>
      </c>
    </row>
    <row r="72" spans="1:34" x14ac:dyDescent="0.3">
      <c r="A72" s="347">
        <f t="shared" ca="1" si="35"/>
        <v>0.01</v>
      </c>
      <c r="B72" s="304">
        <f t="shared" ca="1" si="36"/>
        <v>0.68000000000000038</v>
      </c>
      <c r="D72" s="306">
        <f t="shared" ca="1" si="37"/>
        <v>26.267621746508894</v>
      </c>
      <c r="E72" s="307">
        <f t="shared" ca="1" si="38"/>
        <v>128.9015463581857</v>
      </c>
      <c r="F72" s="304">
        <f t="shared" ca="1" si="39"/>
        <v>131.55073776208616</v>
      </c>
      <c r="G72" s="306">
        <f t="shared" ca="1" si="40"/>
        <v>16.209591334251648</v>
      </c>
      <c r="H72" s="307">
        <f t="shared" ca="1" si="41"/>
        <v>85.499960665965162</v>
      </c>
      <c r="I72" s="304">
        <f t="shared" ca="1" si="42"/>
        <v>87.022951714504813</v>
      </c>
      <c r="J72" s="306">
        <f t="shared" ca="1" si="43"/>
        <v>5.1978400921158725</v>
      </c>
      <c r="K72" s="307">
        <f t="shared" ca="1" si="44"/>
        <v>28.305028289801662</v>
      </c>
      <c r="L72" s="304">
        <f t="shared" ca="1" si="29"/>
        <v>28.778328097887819</v>
      </c>
      <c r="M72" s="306">
        <f t="shared" ca="1" si="45"/>
        <v>1.3834340334435735</v>
      </c>
      <c r="N72" s="304">
        <f t="shared" ca="1" si="46"/>
        <v>79.264931351077138</v>
      </c>
      <c r="P72" s="310">
        <f t="shared" ca="1" si="47"/>
        <v>7</v>
      </c>
      <c r="Q72" s="304">
        <f t="shared" ca="1" si="48"/>
        <v>1312.6143749999999</v>
      </c>
      <c r="R72" s="306">
        <f t="shared" ca="1" si="49"/>
        <v>0.64506037591826304</v>
      </c>
      <c r="S72" s="307">
        <f t="shared" ca="1" si="50"/>
        <v>9.100683786170336</v>
      </c>
      <c r="T72" s="304">
        <f t="shared" ca="1" si="30"/>
        <v>89.277707942331006</v>
      </c>
      <c r="U72" s="311">
        <f t="shared" ca="1" si="31"/>
        <v>0</v>
      </c>
      <c r="V72" s="306">
        <f t="shared" ca="1" si="32"/>
        <v>1.2215375342939876</v>
      </c>
      <c r="W72" s="304">
        <f t="shared" ca="1" si="33"/>
        <v>28.666924138778214</v>
      </c>
      <c r="Y72" s="314" t="str">
        <f t="shared" ca="1" si="51"/>
        <v/>
      </c>
      <c r="Z72" s="315" t="str">
        <f t="shared" ca="1" si="52"/>
        <v/>
      </c>
      <c r="AA72" s="316" t="str">
        <f t="shared" ca="1" si="53"/>
        <v/>
      </c>
      <c r="AC72" s="310" t="e">
        <f t="shared" ca="1" si="54"/>
        <v>#N/A</v>
      </c>
      <c r="AD72" s="323" t="e">
        <f t="shared" ca="1" si="55"/>
        <v>#N/A</v>
      </c>
      <c r="AE72" s="324">
        <f t="shared" ca="1" si="34"/>
        <v>28.305028289801662</v>
      </c>
      <c r="AG72" s="306">
        <f t="shared" ca="1" si="56"/>
        <v>131.53807435275428</v>
      </c>
      <c r="AH72" s="304">
        <f t="shared" ca="1" si="57"/>
        <v>141.17677232922125</v>
      </c>
    </row>
    <row r="73" spans="1:34" x14ac:dyDescent="0.3">
      <c r="A73" s="347">
        <f t="shared" ca="1" si="35"/>
        <v>0.01</v>
      </c>
      <c r="B73" s="304">
        <f t="shared" ca="1" si="36"/>
        <v>0.69000000000000039</v>
      </c>
      <c r="D73" s="306">
        <f t="shared" ca="1" si="37"/>
        <v>26.283806313247052</v>
      </c>
      <c r="E73" s="307">
        <f t="shared" ca="1" si="38"/>
        <v>128.82794339996053</v>
      </c>
      <c r="F73" s="304">
        <f t="shared" ca="1" si="39"/>
        <v>131.48185226477349</v>
      </c>
      <c r="G73" s="306">
        <f t="shared" ca="1" si="40"/>
        <v>16.472429397384118</v>
      </c>
      <c r="H73" s="307">
        <f t="shared" ca="1" si="41"/>
        <v>86.788240099964767</v>
      </c>
      <c r="I73" s="304">
        <f t="shared" ca="1" si="42"/>
        <v>88.337645145775411</v>
      </c>
      <c r="J73" s="306">
        <f t="shared" ca="1" si="43"/>
        <v>5.3612501957740513</v>
      </c>
      <c r="K73" s="307">
        <f t="shared" ca="1" si="44"/>
        <v>29.166469293631312</v>
      </c>
      <c r="L73" s="304">
        <f t="shared" ca="1" si="29"/>
        <v>29.655116501508228</v>
      </c>
      <c r="M73" s="306">
        <f t="shared" ca="1" si="45"/>
        <v>1.3832271806223853</v>
      </c>
      <c r="N73" s="304">
        <f t="shared" ca="1" si="46"/>
        <v>79.253079557442689</v>
      </c>
      <c r="P73" s="310">
        <f t="shared" ca="1" si="47"/>
        <v>7</v>
      </c>
      <c r="Q73" s="304">
        <f t="shared" ca="1" si="48"/>
        <v>1311.9316249999999</v>
      </c>
      <c r="R73" s="306">
        <f t="shared" ca="1" si="49"/>
        <v>0.64472485089275189</v>
      </c>
      <c r="S73" s="307">
        <f t="shared" ca="1" si="50"/>
        <v>9.0942365376614092</v>
      </c>
      <c r="T73" s="304">
        <f t="shared" ca="1" si="30"/>
        <v>89.214460434458431</v>
      </c>
      <c r="U73" s="311">
        <f t="shared" ca="1" si="31"/>
        <v>0</v>
      </c>
      <c r="V73" s="306">
        <f t="shared" ca="1" si="32"/>
        <v>1.2214323103570512</v>
      </c>
      <c r="W73" s="304">
        <f t="shared" ca="1" si="33"/>
        <v>29.537089643968322</v>
      </c>
      <c r="Y73" s="314" t="str">
        <f t="shared" ca="1" si="51"/>
        <v/>
      </c>
      <c r="Z73" s="315" t="str">
        <f t="shared" ca="1" si="52"/>
        <v/>
      </c>
      <c r="AA73" s="316" t="str">
        <f t="shared" ca="1" si="53"/>
        <v/>
      </c>
      <c r="AC73" s="310" t="e">
        <f t="shared" ca="1" si="54"/>
        <v>#N/A</v>
      </c>
      <c r="AD73" s="323" t="e">
        <f t="shared" ca="1" si="55"/>
        <v>#N/A</v>
      </c>
      <c r="AE73" s="324">
        <f t="shared" ca="1" si="34"/>
        <v>29.166469293631312</v>
      </c>
      <c r="AG73" s="306">
        <f t="shared" ca="1" si="56"/>
        <v>131.46915413710605</v>
      </c>
      <c r="AH73" s="304">
        <f t="shared" ca="1" si="57"/>
        <v>141.10746905987276</v>
      </c>
    </row>
    <row r="74" spans="1:34" x14ac:dyDescent="0.3">
      <c r="A74" s="347">
        <f t="shared" ca="1" si="35"/>
        <v>0.01</v>
      </c>
      <c r="B74" s="304">
        <f t="shared" ca="1" si="36"/>
        <v>0.7000000000000004</v>
      </c>
      <c r="D74" s="306">
        <f t="shared" ca="1" si="37"/>
        <v>26.299276757691107</v>
      </c>
      <c r="E74" s="307">
        <f t="shared" ca="1" si="38"/>
        <v>128.75292175484341</v>
      </c>
      <c r="F74" s="304">
        <f t="shared" ca="1" si="39"/>
        <v>131.41144097218651</v>
      </c>
      <c r="G74" s="306">
        <f t="shared" ca="1" si="40"/>
        <v>16.73542216496103</v>
      </c>
      <c r="H74" s="307">
        <f t="shared" ca="1" si="41"/>
        <v>88.075769317513206</v>
      </c>
      <c r="I74" s="304">
        <f t="shared" ca="1" si="42"/>
        <v>89.651634095041842</v>
      </c>
      <c r="J74" s="306">
        <f t="shared" ca="1" si="43"/>
        <v>5.5272894535857766</v>
      </c>
      <c r="K74" s="307">
        <f t="shared" ca="1" si="44"/>
        <v>30.040789340718703</v>
      </c>
      <c r="L74" s="304">
        <f t="shared" ca="1" si="29"/>
        <v>30.545047927891009</v>
      </c>
      <c r="M74" s="306">
        <f t="shared" ca="1" si="45"/>
        <v>1.3830231371821062</v>
      </c>
      <c r="N74" s="304">
        <f t="shared" ca="1" si="46"/>
        <v>79.241388729477364</v>
      </c>
      <c r="P74" s="310">
        <f t="shared" ca="1" si="47"/>
        <v>7</v>
      </c>
      <c r="Q74" s="304">
        <f t="shared" ca="1" si="48"/>
        <v>1311.248875</v>
      </c>
      <c r="R74" s="306">
        <f t="shared" ca="1" si="49"/>
        <v>0.64438932586724074</v>
      </c>
      <c r="S74" s="307">
        <f t="shared" ca="1" si="50"/>
        <v>9.0877926444027359</v>
      </c>
      <c r="T74" s="304">
        <f t="shared" ca="1" si="30"/>
        <v>89.15124584159085</v>
      </c>
      <c r="U74" s="311">
        <f t="shared" ca="1" si="31"/>
        <v>0</v>
      </c>
      <c r="V74" s="306">
        <f t="shared" ca="1" si="32"/>
        <v>1.221325522515964</v>
      </c>
      <c r="W74" s="304">
        <f t="shared" ca="1" si="33"/>
        <v>30.419671077689067</v>
      </c>
      <c r="Y74" s="314" t="str">
        <f t="shared" ca="1" si="51"/>
        <v/>
      </c>
      <c r="Z74" s="315" t="str">
        <f t="shared" ca="1" si="52"/>
        <v/>
      </c>
      <c r="AA74" s="316" t="str">
        <f t="shared" ca="1" si="53"/>
        <v/>
      </c>
      <c r="AC74" s="310" t="e">
        <f t="shared" ca="1" si="54"/>
        <v>#N/A</v>
      </c>
      <c r="AD74" s="323" t="e">
        <f t="shared" ca="1" si="55"/>
        <v>#N/A</v>
      </c>
      <c r="AE74" s="324">
        <f t="shared" ca="1" si="34"/>
        <v>30.040789340718703</v>
      </c>
      <c r="AG74" s="306">
        <f t="shared" ca="1" si="56"/>
        <v>131.39870830006797</v>
      </c>
      <c r="AH74" s="304">
        <f t="shared" ca="1" si="57"/>
        <v>141.03664503672968</v>
      </c>
    </row>
    <row r="75" spans="1:34" x14ac:dyDescent="0.3">
      <c r="A75" s="347">
        <f t="shared" ca="1" si="35"/>
        <v>0.01</v>
      </c>
      <c r="B75" s="304">
        <f t="shared" ca="1" si="36"/>
        <v>0.71000000000000041</v>
      </c>
      <c r="D75" s="306">
        <f t="shared" ca="1" si="37"/>
        <v>26.314044524947164</v>
      </c>
      <c r="E75" s="307">
        <f t="shared" ca="1" si="38"/>
        <v>128.67648050495205</v>
      </c>
      <c r="F75" s="304">
        <f t="shared" ca="1" si="39"/>
        <v>131.33950500288253</v>
      </c>
      <c r="G75" s="306">
        <f t="shared" ca="1" si="40"/>
        <v>16.998562610210502</v>
      </c>
      <c r="H75" s="307">
        <f t="shared" ca="1" si="41"/>
        <v>89.362534122562721</v>
      </c>
      <c r="I75" s="304">
        <f t="shared" ca="1" si="42"/>
        <v>90.964903317815015</v>
      </c>
      <c r="J75" s="306">
        <f t="shared" ca="1" si="43"/>
        <v>5.6959593774616346</v>
      </c>
      <c r="K75" s="307">
        <f t="shared" ca="1" si="44"/>
        <v>30.927980857919081</v>
      </c>
      <c r="L75" s="304">
        <f t="shared" ca="1" si="29"/>
        <v>31.448115256363174</v>
      </c>
      <c r="M75" s="306">
        <f t="shared" ca="1" si="45"/>
        <v>1.3828218233525633</v>
      </c>
      <c r="N75" s="304">
        <f t="shared" ca="1" si="46"/>
        <v>79.229854296686938</v>
      </c>
      <c r="P75" s="310">
        <f t="shared" ca="1" si="47"/>
        <v>7</v>
      </c>
      <c r="Q75" s="304">
        <f t="shared" ca="1" si="48"/>
        <v>1310.5661249999998</v>
      </c>
      <c r="R75" s="306">
        <f t="shared" ca="1" si="49"/>
        <v>0.64405380084172947</v>
      </c>
      <c r="S75" s="307">
        <f t="shared" ca="1" si="50"/>
        <v>9.0813521063943181</v>
      </c>
      <c r="T75" s="304">
        <f t="shared" ca="1" si="30"/>
        <v>89.088064163728262</v>
      </c>
      <c r="U75" s="311">
        <f t="shared" ca="1" si="31"/>
        <v>0</v>
      </c>
      <c r="V75" s="306">
        <f t="shared" ca="1" si="32"/>
        <v>1.2212171721063392</v>
      </c>
      <c r="W75" s="304">
        <f t="shared" ca="1" si="33"/>
        <v>31.314630252551463</v>
      </c>
      <c r="Y75" s="314" t="str">
        <f t="shared" ca="1" si="51"/>
        <v/>
      </c>
      <c r="Z75" s="315" t="str">
        <f t="shared" ca="1" si="52"/>
        <v/>
      </c>
      <c r="AA75" s="316" t="str">
        <f t="shared" ca="1" si="53"/>
        <v/>
      </c>
      <c r="AC75" s="310" t="e">
        <f t="shared" ca="1" si="54"/>
        <v>#N/A</v>
      </c>
      <c r="AD75" s="323" t="e">
        <f t="shared" ca="1" si="55"/>
        <v>#N/A</v>
      </c>
      <c r="AE75" s="324">
        <f t="shared" ca="1" si="34"/>
        <v>30.927980857919081</v>
      </c>
      <c r="AG75" s="306">
        <f t="shared" ca="1" si="56"/>
        <v>131.32673794941294</v>
      </c>
      <c r="AH75" s="304">
        <f t="shared" ca="1" si="57"/>
        <v>140.96430123229558</v>
      </c>
    </row>
    <row r="76" spans="1:34" x14ac:dyDescent="0.3">
      <c r="A76" s="347">
        <f t="shared" ca="1" si="35"/>
        <v>0.01</v>
      </c>
      <c r="B76" s="304">
        <f t="shared" ca="1" si="36"/>
        <v>0.72000000000000042</v>
      </c>
      <c r="D76" s="306">
        <f t="shared" ca="1" si="37"/>
        <v>26.328120583363539</v>
      </c>
      <c r="E76" s="307">
        <f t="shared" ca="1" si="38"/>
        <v>128.5986188911379</v>
      </c>
      <c r="F76" s="304">
        <f t="shared" ca="1" si="39"/>
        <v>131.26604554933564</v>
      </c>
      <c r="G76" s="306">
        <f t="shared" ca="1" si="40"/>
        <v>17.261843816044138</v>
      </c>
      <c r="H76" s="307">
        <f t="shared" ca="1" si="41"/>
        <v>90.648520311474101</v>
      </c>
      <c r="I76" s="304">
        <f t="shared" ca="1" si="42"/>
        <v>92.277437581400321</v>
      </c>
      <c r="J76" s="306">
        <f t="shared" ca="1" si="43"/>
        <v>5.8672614095929081</v>
      </c>
      <c r="K76" s="307">
        <f t="shared" ca="1" si="44"/>
        <v>31.828036130089266</v>
      </c>
      <c r="L76" s="304">
        <f t="shared" ca="1" si="29"/>
        <v>32.364311213847358</v>
      </c>
      <c r="M76" s="306">
        <f t="shared" ca="1" si="45"/>
        <v>1.382623162716824</v>
      </c>
      <c r="N76" s="304">
        <f t="shared" ca="1" si="46"/>
        <v>79.218471880703689</v>
      </c>
      <c r="P76" s="310">
        <f t="shared" ca="1" si="47"/>
        <v>7</v>
      </c>
      <c r="Q76" s="304">
        <f t="shared" ca="1" si="48"/>
        <v>1309.8833749999999</v>
      </c>
      <c r="R76" s="306">
        <f t="shared" ca="1" si="49"/>
        <v>0.64371827581621832</v>
      </c>
      <c r="S76" s="307">
        <f t="shared" ca="1" si="50"/>
        <v>9.0749149236361557</v>
      </c>
      <c r="T76" s="304">
        <f t="shared" ca="1" si="30"/>
        <v>89.024915400870697</v>
      </c>
      <c r="U76" s="311">
        <f t="shared" ca="1" si="31"/>
        <v>0</v>
      </c>
      <c r="V76" s="306">
        <f t="shared" ca="1" si="32"/>
        <v>1.2211072604867579</v>
      </c>
      <c r="W76" s="304">
        <f t="shared" ca="1" si="33"/>
        <v>32.22192831402635</v>
      </c>
      <c r="Y76" s="314" t="str">
        <f t="shared" ca="1" si="51"/>
        <v/>
      </c>
      <c r="Z76" s="315" t="str">
        <f t="shared" ca="1" si="52"/>
        <v/>
      </c>
      <c r="AA76" s="316" t="str">
        <f t="shared" ca="1" si="53"/>
        <v/>
      </c>
      <c r="AC76" s="310" t="e">
        <f t="shared" ca="1" si="54"/>
        <v>#N/A</v>
      </c>
      <c r="AD76" s="323" t="e">
        <f t="shared" ca="1" si="55"/>
        <v>#N/A</v>
      </c>
      <c r="AE76" s="324">
        <f t="shared" ca="1" si="34"/>
        <v>31.828036130089266</v>
      </c>
      <c r="AG76" s="306">
        <f t="shared" ca="1" si="56"/>
        <v>131.253244267242</v>
      </c>
      <c r="AH76" s="304">
        <f t="shared" ca="1" si="57"/>
        <v>140.89043869902736</v>
      </c>
    </row>
    <row r="77" spans="1:34" x14ac:dyDescent="0.3">
      <c r="A77" s="347">
        <f t="shared" ca="1" si="35"/>
        <v>0.01</v>
      </c>
      <c r="B77" s="304">
        <f t="shared" ca="1" si="36"/>
        <v>0.73000000000000043</v>
      </c>
      <c r="D77" s="306">
        <f t="shared" ca="1" si="37"/>
        <v>26.341515452532114</v>
      </c>
      <c r="E77" s="307">
        <f t="shared" ca="1" si="38"/>
        <v>128.5193363084708</v>
      </c>
      <c r="F77" s="304">
        <f t="shared" ca="1" si="39"/>
        <v>131.19106387824519</v>
      </c>
      <c r="G77" s="306">
        <f t="shared" ca="1" si="40"/>
        <v>17.52525897056946</v>
      </c>
      <c r="H77" s="307">
        <f t="shared" ca="1" si="41"/>
        <v>91.933713674558803</v>
      </c>
      <c r="I77" s="304">
        <f t="shared" ca="1" si="42"/>
        <v>93.589221665645269</v>
      </c>
      <c r="J77" s="306">
        <f t="shared" ca="1" si="43"/>
        <v>6.0411969235259759</v>
      </c>
      <c r="K77" s="307">
        <f t="shared" ca="1" si="44"/>
        <v>32.740947300019428</v>
      </c>
      <c r="L77" s="304">
        <f t="shared" ca="1" si="29"/>
        <v>33.293628374982944</v>
      </c>
      <c r="M77" s="306">
        <f t="shared" ca="1" si="45"/>
        <v>1.3824270820246825</v>
      </c>
      <c r="N77" s="304">
        <f t="shared" ca="1" si="46"/>
        <v>79.207237284599984</v>
      </c>
      <c r="P77" s="310">
        <f t="shared" ca="1" si="47"/>
        <v>7</v>
      </c>
      <c r="Q77" s="304">
        <f t="shared" ca="1" si="48"/>
        <v>1309.2006249999999</v>
      </c>
      <c r="R77" s="306">
        <f t="shared" ca="1" si="49"/>
        <v>0.64338275079070717</v>
      </c>
      <c r="S77" s="307">
        <f t="shared" ca="1" si="50"/>
        <v>9.0684810961282487</v>
      </c>
      <c r="T77" s="304">
        <f t="shared" ca="1" si="30"/>
        <v>88.961799553018125</v>
      </c>
      <c r="U77" s="311">
        <f t="shared" ca="1" si="31"/>
        <v>0</v>
      </c>
      <c r="V77" s="306">
        <f t="shared" ca="1" si="32"/>
        <v>1.2209957890387508</v>
      </c>
      <c r="W77" s="304">
        <f t="shared" ca="1" si="33"/>
        <v>33.141525743292611</v>
      </c>
      <c r="Y77" s="314" t="str">
        <f t="shared" ca="1" si="51"/>
        <v/>
      </c>
      <c r="Z77" s="315" t="str">
        <f t="shared" ca="1" si="52"/>
        <v/>
      </c>
      <c r="AA77" s="316" t="str">
        <f t="shared" ca="1" si="53"/>
        <v/>
      </c>
      <c r="AC77" s="310" t="e">
        <f t="shared" ca="1" si="54"/>
        <v>#N/A</v>
      </c>
      <c r="AD77" s="323" t="e">
        <f t="shared" ca="1" si="55"/>
        <v>#N/A</v>
      </c>
      <c r="AE77" s="324">
        <f t="shared" ca="1" si="34"/>
        <v>32.740947300019428</v>
      </c>
      <c r="AG77" s="306">
        <f t="shared" ca="1" si="56"/>
        <v>131.17822851027</v>
      </c>
      <c r="AH77" s="304">
        <f t="shared" ca="1" si="57"/>
        <v>140.81505856930929</v>
      </c>
    </row>
    <row r="78" spans="1:34" x14ac:dyDescent="0.3">
      <c r="A78" s="347">
        <f t="shared" ca="1" si="35"/>
        <v>0.01</v>
      </c>
      <c r="B78" s="304">
        <f t="shared" ca="1" si="36"/>
        <v>0.74000000000000044</v>
      </c>
      <c r="D78" s="306">
        <f t="shared" ca="1" si="37"/>
        <v>26.354239229329721</v>
      </c>
      <c r="E78" s="307">
        <f t="shared" ca="1" si="38"/>
        <v>128.43863230202507</v>
      </c>
      <c r="F78" s="304">
        <f t="shared" ca="1" si="39"/>
        <v>131.11456133081305</v>
      </c>
      <c r="G78" s="306">
        <f t="shared" ca="1" si="40"/>
        <v>17.788801362862756</v>
      </c>
      <c r="H78" s="307">
        <f t="shared" ca="1" si="41"/>
        <v>93.21809999757906</v>
      </c>
      <c r="I78" s="304">
        <f t="shared" ca="1" si="42"/>
        <v>94.900240363689463</v>
      </c>
      <c r="J78" s="306">
        <f t="shared" ca="1" si="43"/>
        <v>6.2177672251931373</v>
      </c>
      <c r="K78" s="307">
        <f t="shared" ca="1" si="44"/>
        <v>33.666706368380119</v>
      </c>
      <c r="L78" s="304">
        <f t="shared" ca="1" si="29"/>
        <v>34.236059162254826</v>
      </c>
      <c r="M78" s="306">
        <f t="shared" ca="1" si="45"/>
        <v>1.3822335110189812</v>
      </c>
      <c r="N78" s="304">
        <f t="shared" ca="1" si="46"/>
        <v>79.196146482937195</v>
      </c>
      <c r="P78" s="310">
        <f t="shared" ca="1" si="47"/>
        <v>7</v>
      </c>
      <c r="Q78" s="304">
        <f t="shared" ca="1" si="48"/>
        <v>1308.517875</v>
      </c>
      <c r="R78" s="306">
        <f t="shared" ca="1" si="49"/>
        <v>0.64304722576519613</v>
      </c>
      <c r="S78" s="307">
        <f t="shared" ca="1" si="50"/>
        <v>9.0620506238705971</v>
      </c>
      <c r="T78" s="304">
        <f t="shared" ca="1" si="30"/>
        <v>88.898716620170561</v>
      </c>
      <c r="U78" s="311">
        <f t="shared" ca="1" si="31"/>
        <v>0</v>
      </c>
      <c r="V78" s="306">
        <f t="shared" ca="1" si="32"/>
        <v>1.2208827591667823</v>
      </c>
      <c r="W78" s="304">
        <f t="shared" ca="1" si="33"/>
        <v>34.073382360161084</v>
      </c>
      <c r="Y78" s="314" t="str">
        <f t="shared" ca="1" si="51"/>
        <v/>
      </c>
      <c r="Z78" s="315" t="str">
        <f t="shared" ca="1" si="52"/>
        <v/>
      </c>
      <c r="AA78" s="316" t="str">
        <f t="shared" ca="1" si="53"/>
        <v/>
      </c>
      <c r="AC78" s="310" t="e">
        <f t="shared" ca="1" si="54"/>
        <v>#N/A</v>
      </c>
      <c r="AD78" s="323" t="e">
        <f t="shared" ca="1" si="55"/>
        <v>#N/A</v>
      </c>
      <c r="AE78" s="324">
        <f t="shared" ca="1" si="34"/>
        <v>33.666706368380119</v>
      </c>
      <c r="AG78" s="306">
        <f t="shared" ca="1" si="56"/>
        <v>131.10169201008134</v>
      </c>
      <c r="AH78" s="304">
        <f t="shared" ca="1" si="57"/>
        <v>140.73816205541863</v>
      </c>
    </row>
    <row r="79" spans="1:34" x14ac:dyDescent="0.3">
      <c r="A79" s="347">
        <f t="shared" ca="1" si="35"/>
        <v>0.01</v>
      </c>
      <c r="B79" s="304">
        <f t="shared" ca="1" si="36"/>
        <v>0.75000000000000044</v>
      </c>
      <c r="D79" s="306">
        <f t="shared" ca="1" si="37"/>
        <v>26.366301612161688</v>
      </c>
      <c r="E79" s="307">
        <f t="shared" ca="1" si="38"/>
        <v>128.35650656294024</v>
      </c>
      <c r="F79" s="304">
        <f t="shared" ca="1" si="39"/>
        <v>131.03653932299036</v>
      </c>
      <c r="G79" s="306">
        <f t="shared" ca="1" si="40"/>
        <v>18.052464378984372</v>
      </c>
      <c r="H79" s="307">
        <f t="shared" ca="1" si="41"/>
        <v>94.501665063208463</v>
      </c>
      <c r="I79" s="304">
        <f t="shared" ca="1" si="42"/>
        <v>96.210478482716908</v>
      </c>
      <c r="J79" s="306">
        <f t="shared" ca="1" si="43"/>
        <v>6.3969735539023729</v>
      </c>
      <c r="K79" s="307">
        <f t="shared" ca="1" si="44"/>
        <v>34.605305193684053</v>
      </c>
      <c r="L79" s="304">
        <f t="shared" ca="1" si="29"/>
        <v>35.191595846129836</v>
      </c>
      <c r="M79" s="306">
        <f t="shared" ca="1" si="45"/>
        <v>1.3820423822737196</v>
      </c>
      <c r="N79" s="304">
        <f t="shared" ca="1" si="46"/>
        <v>79.185195612490062</v>
      </c>
      <c r="P79" s="310">
        <f t="shared" ca="1" si="47"/>
        <v>7</v>
      </c>
      <c r="Q79" s="304">
        <f t="shared" ca="1" si="48"/>
        <v>1307.8351249999998</v>
      </c>
      <c r="R79" s="306">
        <f t="shared" ca="1" si="49"/>
        <v>0.64271170073968487</v>
      </c>
      <c r="S79" s="307">
        <f t="shared" ca="1" si="50"/>
        <v>9.0556235068632009</v>
      </c>
      <c r="T79" s="304">
        <f t="shared" ca="1" si="30"/>
        <v>88.835666602328004</v>
      </c>
      <c r="U79" s="311">
        <f t="shared" ca="1" si="31"/>
        <v>0</v>
      </c>
      <c r="V79" s="306">
        <f t="shared" ca="1" si="32"/>
        <v>1.2207681722982313</v>
      </c>
      <c r="W79" s="304">
        <f t="shared" ca="1" si="33"/>
        <v>35.017457326073981</v>
      </c>
      <c r="Y79" s="314" t="str">
        <f t="shared" ca="1" si="51"/>
        <v/>
      </c>
      <c r="Z79" s="315" t="str">
        <f t="shared" ca="1" si="52"/>
        <v/>
      </c>
      <c r="AA79" s="316" t="str">
        <f t="shared" ca="1" si="53"/>
        <v/>
      </c>
      <c r="AC79" s="310" t="e">
        <f t="shared" ca="1" si="54"/>
        <v>#N/A</v>
      </c>
      <c r="AD79" s="323" t="e">
        <f t="shared" ca="1" si="55"/>
        <v>#N/A</v>
      </c>
      <c r="AE79" s="324">
        <f t="shared" ca="1" si="34"/>
        <v>34.605305193684053</v>
      </c>
      <c r="AG79" s="306">
        <f t="shared" ca="1" si="56"/>
        <v>131.02363617335669</v>
      </c>
      <c r="AH79" s="304">
        <f t="shared" ca="1" si="57"/>
        <v>140.65975044948178</v>
      </c>
    </row>
    <row r="80" spans="1:34" x14ac:dyDescent="0.3">
      <c r="A80" s="347">
        <f t="shared" ca="1" si="35"/>
        <v>0.01</v>
      </c>
      <c r="B80" s="304">
        <f t="shared" ca="1" si="36"/>
        <v>0.76000000000000045</v>
      </c>
      <c r="D80" s="306">
        <f t="shared" ca="1" si="37"/>
        <v>26.377711923554337</v>
      </c>
      <c r="E80" s="307">
        <f t="shared" ca="1" si="38"/>
        <v>128.27295892473452</v>
      </c>
      <c r="F80" s="304">
        <f t="shared" ca="1" si="39"/>
        <v>130.95699934569612</v>
      </c>
      <c r="G80" s="306">
        <f t="shared" ca="1" si="40"/>
        <v>18.316241498219917</v>
      </c>
      <c r="H80" s="307">
        <f t="shared" ca="1" si="41"/>
        <v>95.784394652455802</v>
      </c>
      <c r="I80" s="304">
        <f t="shared" ca="1" si="42"/>
        <v>97.519920844710072</v>
      </c>
      <c r="J80" s="306">
        <f t="shared" ca="1" si="43"/>
        <v>6.5788170832883948</v>
      </c>
      <c r="K80" s="307">
        <f t="shared" ca="1" si="44"/>
        <v>35.556735492262376</v>
      </c>
      <c r="L80" s="304">
        <f t="shared" ca="1" si="29"/>
        <v>36.160230545200868</v>
      </c>
      <c r="M80" s="306">
        <f t="shared" ca="1" si="45"/>
        <v>1.3818536310430001</v>
      </c>
      <c r="N80" s="304">
        <f t="shared" ca="1" si="46"/>
        <v>79.174380963591943</v>
      </c>
      <c r="P80" s="310">
        <f t="shared" ca="1" si="47"/>
        <v>7</v>
      </c>
      <c r="Q80" s="304">
        <f t="shared" ca="1" si="48"/>
        <v>1307.1523749999999</v>
      </c>
      <c r="R80" s="306">
        <f t="shared" ca="1" si="49"/>
        <v>0.64237617571417371</v>
      </c>
      <c r="S80" s="307">
        <f t="shared" ca="1" si="50"/>
        <v>9.0491997451060584</v>
      </c>
      <c r="T80" s="304">
        <f t="shared" ca="1" si="30"/>
        <v>88.772649499490441</v>
      </c>
      <c r="U80" s="311">
        <f t="shared" ca="1" si="31"/>
        <v>0</v>
      </c>
      <c r="V80" s="306">
        <f t="shared" ca="1" si="32"/>
        <v>1.2206520298833661</v>
      </c>
      <c r="W80" s="304">
        <f t="shared" ca="1" si="33"/>
        <v>35.973709147178958</v>
      </c>
      <c r="Y80" s="314" t="str">
        <f t="shared" ca="1" si="51"/>
        <v/>
      </c>
      <c r="Z80" s="315" t="str">
        <f t="shared" ca="1" si="52"/>
        <v/>
      </c>
      <c r="AA80" s="316" t="str">
        <f t="shared" ca="1" si="53"/>
        <v/>
      </c>
      <c r="AC80" s="310" t="e">
        <f t="shared" ca="1" si="54"/>
        <v>#N/A</v>
      </c>
      <c r="AD80" s="323" t="e">
        <f t="shared" ca="1" si="55"/>
        <v>#N/A</v>
      </c>
      <c r="AE80" s="324">
        <f t="shared" ca="1" si="34"/>
        <v>35.556735492262376</v>
      </c>
      <c r="AG80" s="306">
        <f t="shared" ca="1" si="56"/>
        <v>130.94406248207312</v>
      </c>
      <c r="AH80" s="304">
        <f t="shared" ca="1" si="57"/>
        <v>140.57982512342213</v>
      </c>
    </row>
    <row r="81" spans="1:34" x14ac:dyDescent="0.3">
      <c r="A81" s="347">
        <f t="shared" ca="1" si="35"/>
        <v>0.01</v>
      </c>
      <c r="B81" s="304">
        <f t="shared" ca="1" si="36"/>
        <v>0.77000000000000046</v>
      </c>
      <c r="D81" s="306">
        <f t="shared" ca="1" si="37"/>
        <v>26.38847913122957</v>
      </c>
      <c r="E81" s="307">
        <f t="shared" ca="1" si="38"/>
        <v>128.18798935984955</v>
      </c>
      <c r="F81" s="304">
        <f t="shared" ca="1" si="39"/>
        <v>130.87594296500882</v>
      </c>
      <c r="G81" s="306">
        <f t="shared" ca="1" si="40"/>
        <v>18.580126289532213</v>
      </c>
      <c r="H81" s="307">
        <f t="shared" ca="1" si="41"/>
        <v>97.066274546054302</v>
      </c>
      <c r="I81" s="304">
        <f t="shared" ca="1" si="42"/>
        <v>98.828552287205724</v>
      </c>
      <c r="J81" s="306">
        <f t="shared" ca="1" si="43"/>
        <v>6.7632989222271558</v>
      </c>
      <c r="K81" s="307">
        <f t="shared" ca="1" si="44"/>
        <v>36.520988838254929</v>
      </c>
      <c r="L81" s="304">
        <f t="shared" ca="1" si="29"/>
        <v>37.141955226338588</v>
      </c>
      <c r="M81" s="306">
        <f t="shared" ca="1" si="45"/>
        <v>1.3816671951199526</v>
      </c>
      <c r="N81" s="304">
        <f t="shared" ca="1" si="46"/>
        <v>79.163698972051691</v>
      </c>
      <c r="P81" s="310">
        <f t="shared" ca="1" si="47"/>
        <v>7</v>
      </c>
      <c r="Q81" s="304">
        <f t="shared" ca="1" si="48"/>
        <v>1306.469625</v>
      </c>
      <c r="R81" s="306">
        <f t="shared" ca="1" si="49"/>
        <v>0.64204065068866256</v>
      </c>
      <c r="S81" s="307">
        <f t="shared" ca="1" si="50"/>
        <v>9.0427793385991713</v>
      </c>
      <c r="T81" s="304">
        <f t="shared" ca="1" si="30"/>
        <v>88.709665311657872</v>
      </c>
      <c r="U81" s="311">
        <f t="shared" ca="1" si="31"/>
        <v>0</v>
      </c>
      <c r="V81" s="306">
        <f t="shared" ca="1" si="32"/>
        <v>1.2205343333953249</v>
      </c>
      <c r="W81" s="304">
        <f t="shared" ca="1" si="33"/>
        <v>36.942095677478122</v>
      </c>
      <c r="Y81" s="314" t="str">
        <f t="shared" ca="1" si="51"/>
        <v/>
      </c>
      <c r="Z81" s="315" t="str">
        <f t="shared" ca="1" si="52"/>
        <v/>
      </c>
      <c r="AA81" s="316" t="str">
        <f t="shared" ca="1" si="53"/>
        <v/>
      </c>
      <c r="AC81" s="310" t="e">
        <f t="shared" ca="1" si="54"/>
        <v>#N/A</v>
      </c>
      <c r="AD81" s="323" t="e">
        <f t="shared" ca="1" si="55"/>
        <v>#N/A</v>
      </c>
      <c r="AE81" s="324">
        <f t="shared" ca="1" si="34"/>
        <v>36.520988838254929</v>
      </c>
      <c r="AG81" s="306">
        <f t="shared" ca="1" si="56"/>
        <v>130.86297249367823</v>
      </c>
      <c r="AH81" s="304">
        <f t="shared" ca="1" si="57"/>
        <v>140.49838752889832</v>
      </c>
    </row>
    <row r="82" spans="1:34" x14ac:dyDescent="0.3">
      <c r="A82" s="347">
        <f t="shared" ca="1" si="35"/>
        <v>0.01</v>
      </c>
      <c r="B82" s="304">
        <f t="shared" ca="1" si="36"/>
        <v>0.78000000000000047</v>
      </c>
      <c r="D82" s="306">
        <f t="shared" ca="1" si="37"/>
        <v>26.398611867781906</v>
      </c>
      <c r="E82" s="307">
        <f t="shared" ca="1" si="38"/>
        <v>128.10159797640748</v>
      </c>
      <c r="F82" s="304">
        <f t="shared" ca="1" si="39"/>
        <v>130.79337182233249</v>
      </c>
      <c r="G82" s="306">
        <f t="shared" ca="1" si="40"/>
        <v>18.844112408210034</v>
      </c>
      <c r="H82" s="307">
        <f t="shared" ca="1" si="41"/>
        <v>98.34729052581838</v>
      </c>
      <c r="I82" s="304">
        <f t="shared" ca="1" si="42"/>
        <v>100.13635766405217</v>
      </c>
      <c r="J82" s="306">
        <f t="shared" ca="1" si="43"/>
        <v>6.9504201157158674</v>
      </c>
      <c r="K82" s="307">
        <f t="shared" ca="1" si="44"/>
        <v>37.498056663614292</v>
      </c>
      <c r="L82" s="304">
        <f t="shared" ca="1" si="29"/>
        <v>38.136761704850819</v>
      </c>
      <c r="M82" s="306">
        <f t="shared" ca="1" si="45"/>
        <v>1.3814830147048514</v>
      </c>
      <c r="N82" s="304">
        <f t="shared" ca="1" si="46"/>
        <v>79.153146211597431</v>
      </c>
      <c r="P82" s="310">
        <f t="shared" ca="1" si="47"/>
        <v>7</v>
      </c>
      <c r="Q82" s="304">
        <f t="shared" ca="1" si="48"/>
        <v>1305.786875</v>
      </c>
      <c r="R82" s="306">
        <f t="shared" ca="1" si="49"/>
        <v>0.64170512566315141</v>
      </c>
      <c r="S82" s="307">
        <f t="shared" ca="1" si="50"/>
        <v>9.0363622873425395</v>
      </c>
      <c r="T82" s="304">
        <f t="shared" ca="1" si="30"/>
        <v>88.646714038830311</v>
      </c>
      <c r="U82" s="311">
        <f t="shared" ca="1" si="31"/>
        <v>0</v>
      </c>
      <c r="V82" s="306">
        <f t="shared" ca="1" si="32"/>
        <v>1.2204150843300867</v>
      </c>
      <c r="W82" s="304">
        <f t="shared" ca="1" si="33"/>
        <v>37.922574122051145</v>
      </c>
      <c r="Y82" s="314" t="str">
        <f t="shared" ca="1" si="51"/>
        <v/>
      </c>
      <c r="Z82" s="315" t="str">
        <f t="shared" ca="1" si="52"/>
        <v/>
      </c>
      <c r="AA82" s="316" t="str">
        <f t="shared" ca="1" si="53"/>
        <v/>
      </c>
      <c r="AC82" s="310" t="e">
        <f t="shared" ca="1" si="54"/>
        <v>#N/A</v>
      </c>
      <c r="AD82" s="323" t="e">
        <f t="shared" ca="1" si="55"/>
        <v>#N/A</v>
      </c>
      <c r="AE82" s="324">
        <f t="shared" ca="1" si="34"/>
        <v>37.498056663614292</v>
      </c>
      <c r="AG82" s="306">
        <f t="shared" ca="1" si="56"/>
        <v>130.78036784123989</v>
      </c>
      <c r="AH82" s="304">
        <f t="shared" ca="1" si="57"/>
        <v>140.4154391972337</v>
      </c>
    </row>
    <row r="83" spans="1:34" x14ac:dyDescent="0.3">
      <c r="A83" s="347">
        <f t="shared" ca="1" si="35"/>
        <v>0.01</v>
      </c>
      <c r="B83" s="304">
        <f t="shared" ca="1" si="36"/>
        <v>0.79000000000000048</v>
      </c>
      <c r="D83" s="306">
        <f t="shared" ca="1" si="37"/>
        <v>26.408118449068112</v>
      </c>
      <c r="E83" s="307">
        <f t="shared" ca="1" si="38"/>
        <v>128.0137850151641</v>
      </c>
      <c r="F83" s="304">
        <f t="shared" ca="1" si="39"/>
        <v>130.70928763453907</v>
      </c>
      <c r="G83" s="306">
        <f t="shared" ca="1" si="40"/>
        <v>19.108193592700715</v>
      </c>
      <c r="H83" s="307">
        <f t="shared" ca="1" si="41"/>
        <v>99.627428375970027</v>
      </c>
      <c r="I83" s="304">
        <f t="shared" ca="1" si="42"/>
        <v>101.44332184616771</v>
      </c>
      <c r="J83" s="306">
        <f t="shared" ca="1" si="43"/>
        <v>7.1401816457204212</v>
      </c>
      <c r="K83" s="307">
        <f t="shared" ca="1" si="44"/>
        <v>38.487930258123235</v>
      </c>
      <c r="L83" s="304">
        <f t="shared" ca="1" si="29"/>
        <v>39.144641644649667</v>
      </c>
      <c r="M83" s="306">
        <f t="shared" ca="1" si="45"/>
        <v>1.3813010322817165</v>
      </c>
      <c r="N83" s="304">
        <f t="shared" ca="1" si="46"/>
        <v>79.142719386806235</v>
      </c>
      <c r="P83" s="310">
        <f t="shared" ca="1" si="47"/>
        <v>7</v>
      </c>
      <c r="Q83" s="304">
        <f t="shared" ca="1" si="48"/>
        <v>1305.1041249999998</v>
      </c>
      <c r="R83" s="306">
        <f t="shared" ca="1" si="49"/>
        <v>0.64136960063764015</v>
      </c>
      <c r="S83" s="307">
        <f t="shared" ca="1" si="50"/>
        <v>9.0299485913361632</v>
      </c>
      <c r="T83" s="304">
        <f t="shared" ca="1" si="30"/>
        <v>88.583795681007771</v>
      </c>
      <c r="U83" s="311">
        <f t="shared" ca="1" si="31"/>
        <v>0</v>
      </c>
      <c r="V83" s="306">
        <f t="shared" ca="1" si="32"/>
        <v>1.2202942842064435</v>
      </c>
      <c r="W83" s="304">
        <f t="shared" ca="1" si="33"/>
        <v>38.915101040352219</v>
      </c>
      <c r="Y83" s="314" t="str">
        <f t="shared" ca="1" si="51"/>
        <v/>
      </c>
      <c r="Z83" s="315" t="str">
        <f t="shared" ca="1" si="52"/>
        <v/>
      </c>
      <c r="AA83" s="316" t="str">
        <f t="shared" ca="1" si="53"/>
        <v/>
      </c>
      <c r="AC83" s="310" t="e">
        <f t="shared" ca="1" si="54"/>
        <v>#N/A</v>
      </c>
      <c r="AD83" s="323" t="e">
        <f t="shared" ca="1" si="55"/>
        <v>#N/A</v>
      </c>
      <c r="AE83" s="324">
        <f t="shared" ca="1" si="34"/>
        <v>38.487930258123235</v>
      </c>
      <c r="AG83" s="306">
        <f t="shared" ca="1" si="56"/>
        <v>130.69625023357335</v>
      </c>
      <c r="AH83" s="304">
        <f t="shared" ca="1" si="57"/>
        <v>140.33098173933718</v>
      </c>
    </row>
    <row r="84" spans="1:34" x14ac:dyDescent="0.3">
      <c r="A84" s="347">
        <f t="shared" ca="1" si="35"/>
        <v>0.01</v>
      </c>
      <c r="B84" s="304">
        <f t="shared" ca="1" si="36"/>
        <v>0.80000000000000049</v>
      </c>
      <c r="D84" s="306">
        <f t="shared" ca="1" si="37"/>
        <v>26.41700689140848</v>
      </c>
      <c r="E84" s="307">
        <f t="shared" ca="1" si="38"/>
        <v>127.92455084664144</v>
      </c>
      <c r="F84" s="304">
        <f t="shared" ca="1" si="39"/>
        <v>130.62369219408734</v>
      </c>
      <c r="G84" s="306">
        <f t="shared" ca="1" si="40"/>
        <v>19.372363661614799</v>
      </c>
      <c r="H84" s="307">
        <f t="shared" ca="1" si="41"/>
        <v>100.90667388443644</v>
      </c>
      <c r="I84" s="304">
        <f t="shared" ca="1" si="42"/>
        <v>102.74942972229998</v>
      </c>
      <c r="J84" s="306">
        <f t="shared" ca="1" si="43"/>
        <v>7.3325844319919984</v>
      </c>
      <c r="K84" s="307">
        <f t="shared" ca="1" si="44"/>
        <v>39.490600769425271</v>
      </c>
      <c r="L84" s="304">
        <f t="shared" ca="1" si="29"/>
        <v>40.165586558426149</v>
      </c>
      <c r="M84" s="306">
        <f t="shared" ca="1" si="45"/>
        <v>1.38112119250275</v>
      </c>
      <c r="N84" s="304">
        <f t="shared" ca="1" si="46"/>
        <v>79.132415326482885</v>
      </c>
      <c r="P84" s="310">
        <f t="shared" ca="1" si="47"/>
        <v>7</v>
      </c>
      <c r="Q84" s="304">
        <f t="shared" ca="1" si="48"/>
        <v>1304.4213749999999</v>
      </c>
      <c r="R84" s="306">
        <f t="shared" ca="1" si="49"/>
        <v>0.64103407561212911</v>
      </c>
      <c r="S84" s="307">
        <f t="shared" ca="1" si="50"/>
        <v>9.0235382505800423</v>
      </c>
      <c r="T84" s="304">
        <f t="shared" ca="1" si="30"/>
        <v>88.520910238190226</v>
      </c>
      <c r="U84" s="311">
        <f t="shared" ca="1" si="31"/>
        <v>0</v>
      </c>
      <c r="V84" s="306">
        <f t="shared" ca="1" si="32"/>
        <v>1.2201719345659725</v>
      </c>
      <c r="W84" s="304">
        <f t="shared" ca="1" si="33"/>
        <v>39.919632349580468</v>
      </c>
      <c r="Y84" s="314" t="str">
        <f t="shared" ca="1" si="51"/>
        <v/>
      </c>
      <c r="Z84" s="315" t="str">
        <f t="shared" ca="1" si="52"/>
        <v/>
      </c>
      <c r="AA84" s="316" t="str">
        <f t="shared" ca="1" si="53"/>
        <v/>
      </c>
      <c r="AC84" s="310" t="e">
        <f t="shared" ca="1" si="54"/>
        <v>#N/A</v>
      </c>
      <c r="AD84" s="323" t="e">
        <f t="shared" ca="1" si="55"/>
        <v>#N/A</v>
      </c>
      <c r="AE84" s="324">
        <f t="shared" ca="1" si="34"/>
        <v>39.490600769425271</v>
      </c>
      <c r="AG84" s="306">
        <f t="shared" ca="1" si="56"/>
        <v>130.61062145534606</v>
      </c>
      <c r="AH84" s="304">
        <f t="shared" ca="1" si="57"/>
        <v>140.2450168456148</v>
      </c>
    </row>
    <row r="85" spans="1:34" x14ac:dyDescent="0.3">
      <c r="A85" s="347">
        <f t="shared" ca="1" si="35"/>
        <v>0.01</v>
      </c>
      <c r="B85" s="304">
        <f t="shared" ca="1" si="36"/>
        <v>0.8100000000000005</v>
      </c>
      <c r="D85" s="306">
        <f t="shared" ca="1" si="37"/>
        <v>26.407884450020294</v>
      </c>
      <c r="E85" s="307">
        <f t="shared" ca="1" si="38"/>
        <v>127.74326044472761</v>
      </c>
      <c r="F85" s="304">
        <f t="shared" ca="1" si="39"/>
        <v>130.44430593236001</v>
      </c>
      <c r="G85" s="306">
        <f t="shared" ca="1" si="40"/>
        <v>19.636442506115003</v>
      </c>
      <c r="H85" s="307">
        <f t="shared" ca="1" si="41"/>
        <v>102.18410648888371</v>
      </c>
      <c r="I85" s="304">
        <f t="shared" ca="1" si="42"/>
        <v>104.05374329272102</v>
      </c>
      <c r="J85" s="306">
        <f t="shared" ca="1" si="43"/>
        <v>7.5276284628306476</v>
      </c>
      <c r="K85" s="307">
        <f t="shared" ca="1" si="44"/>
        <v>40.506054671291871</v>
      </c>
      <c r="L85" s="304">
        <f t="shared" ca="1" si="29"/>
        <v>41.199583193378352</v>
      </c>
      <c r="M85" s="306">
        <f t="shared" ca="1" si="45"/>
        <v>1.3809434405034546</v>
      </c>
      <c r="N85" s="304">
        <f t="shared" ca="1" si="46"/>
        <v>79.122230887123251</v>
      </c>
      <c r="P85" s="310">
        <f t="shared" ca="1" si="47"/>
        <v>8</v>
      </c>
      <c r="Q85" s="304">
        <f t="shared" ca="1" si="48"/>
        <v>1302.9069999999999</v>
      </c>
      <c r="R85" s="306">
        <f t="shared" ca="1" si="49"/>
        <v>0.64028986365971829</v>
      </c>
      <c r="S85" s="307">
        <f t="shared" ca="1" si="50"/>
        <v>9.0171353519434447</v>
      </c>
      <c r="T85" s="304">
        <f t="shared" ca="1" si="30"/>
        <v>88.458097802565192</v>
      </c>
      <c r="U85" s="311">
        <f t="shared" ca="1" si="31"/>
        <v>0</v>
      </c>
      <c r="V85" s="306">
        <f t="shared" ca="1" si="32"/>
        <v>1.2200480375259022</v>
      </c>
      <c r="W85" s="304">
        <f t="shared" ca="1" si="33"/>
        <v>40.935397188563911</v>
      </c>
      <c r="Y85" s="314" t="str">
        <f t="shared" ca="1" si="51"/>
        <v/>
      </c>
      <c r="Z85" s="315" t="str">
        <f t="shared" ca="1" si="52"/>
        <v/>
      </c>
      <c r="AA85" s="316" t="str">
        <f t="shared" ca="1" si="53"/>
        <v/>
      </c>
      <c r="AC85" s="310" t="e">
        <f t="shared" ca="1" si="54"/>
        <v>#N/A</v>
      </c>
      <c r="AD85" s="323" t="e">
        <f t="shared" ca="1" si="55"/>
        <v>#N/A</v>
      </c>
      <c r="AE85" s="324">
        <f t="shared" ca="1" si="34"/>
        <v>40.506054671291871</v>
      </c>
      <c r="AG85" s="306">
        <f t="shared" ca="1" si="56"/>
        <v>130.43119265918264</v>
      </c>
      <c r="AH85" s="304">
        <f t="shared" ca="1" si="57"/>
        <v>140.06525557789374</v>
      </c>
    </row>
    <row r="86" spans="1:34" x14ac:dyDescent="0.3">
      <c r="A86" s="347">
        <f t="shared" ca="1" si="35"/>
        <v>0.01</v>
      </c>
      <c r="B86" s="304">
        <f t="shared" ca="1" si="36"/>
        <v>0.82000000000000051</v>
      </c>
      <c r="D86" s="306">
        <f t="shared" ca="1" si="37"/>
        <v>26.380676655931147</v>
      </c>
      <c r="E86" s="307">
        <f t="shared" ca="1" si="38"/>
        <v>127.46974768438889</v>
      </c>
      <c r="F86" s="304">
        <f t="shared" ca="1" si="39"/>
        <v>130.17095173481124</v>
      </c>
      <c r="G86" s="306">
        <f t="shared" ca="1" si="40"/>
        <v>19.900249272674316</v>
      </c>
      <c r="H86" s="307">
        <f t="shared" ca="1" si="41"/>
        <v>103.4588039657276</v>
      </c>
      <c r="I86" s="304">
        <f t="shared" ca="1" si="42"/>
        <v>105.35532278500895</v>
      </c>
      <c r="J86" s="306">
        <f t="shared" ca="1" si="43"/>
        <v>7.725311921724594</v>
      </c>
      <c r="K86" s="307">
        <f t="shared" ca="1" si="44"/>
        <v>41.534269223564927</v>
      </c>
      <c r="L86" s="304">
        <f t="shared" ca="1" si="29"/>
        <v>42.246608907976423</v>
      </c>
      <c r="M86" s="306">
        <f t="shared" ca="1" si="45"/>
        <v>1.3807677219459096</v>
      </c>
      <c r="N86" s="304">
        <f t="shared" ca="1" si="46"/>
        <v>79.112162955393799</v>
      </c>
      <c r="P86" s="310">
        <f t="shared" ca="1" si="47"/>
        <v>8</v>
      </c>
      <c r="Q86" s="304">
        <f t="shared" ca="1" si="48"/>
        <v>1300.5609999999999</v>
      </c>
      <c r="R86" s="306">
        <f t="shared" ca="1" si="49"/>
        <v>0.63913696478040782</v>
      </c>
      <c r="S86" s="307">
        <f t="shared" ca="1" si="50"/>
        <v>9.0107439822956401</v>
      </c>
      <c r="T86" s="304">
        <f t="shared" ca="1" si="30"/>
        <v>88.395398466320231</v>
      </c>
      <c r="U86" s="311">
        <f t="shared" ca="1" si="31"/>
        <v>0</v>
      </c>
      <c r="V86" s="306">
        <f t="shared" ca="1" si="32"/>
        <v>1.2199225963326574</v>
      </c>
      <c r="W86" s="304">
        <f t="shared" ca="1" si="33"/>
        <v>41.961586603882942</v>
      </c>
      <c r="Y86" s="314" t="str">
        <f t="shared" ca="1" si="51"/>
        <v/>
      </c>
      <c r="Z86" s="315" t="str">
        <f t="shared" ca="1" si="52"/>
        <v/>
      </c>
      <c r="AA86" s="316" t="str">
        <f t="shared" ca="1" si="53"/>
        <v/>
      </c>
      <c r="AC86" s="310" t="e">
        <f t="shared" ca="1" si="54"/>
        <v>#N/A</v>
      </c>
      <c r="AD86" s="323" t="e">
        <f t="shared" ca="1" si="55"/>
        <v>#N/A</v>
      </c>
      <c r="AE86" s="324">
        <f t="shared" ca="1" si="34"/>
        <v>41.534269223564927</v>
      </c>
      <c r="AG86" s="306">
        <f t="shared" ca="1" si="56"/>
        <v>130.15778657591792</v>
      </c>
      <c r="AH86" s="304">
        <f t="shared" ca="1" si="57"/>
        <v>139.79152057658672</v>
      </c>
    </row>
    <row r="87" spans="1:34" x14ac:dyDescent="0.3">
      <c r="A87" s="347">
        <f t="shared" ca="1" si="35"/>
        <v>0.01</v>
      </c>
      <c r="B87" s="304">
        <f t="shared" ca="1" si="36"/>
        <v>0.83000000000000052</v>
      </c>
      <c r="D87" s="306">
        <f t="shared" ca="1" si="37"/>
        <v>26.352768046396545</v>
      </c>
      <c r="E87" s="307">
        <f t="shared" ca="1" si="38"/>
        <v>127.19460863121833</v>
      </c>
      <c r="F87" s="304">
        <f t="shared" ca="1" si="39"/>
        <v>129.89586925131985</v>
      </c>
      <c r="G87" s="306">
        <f t="shared" ca="1" si="40"/>
        <v>20.163776953138282</v>
      </c>
      <c r="H87" s="307">
        <f t="shared" ca="1" si="41"/>
        <v>104.73075005203978</v>
      </c>
      <c r="I87" s="304">
        <f t="shared" ca="1" si="42"/>
        <v>106.65415091537103</v>
      </c>
      <c r="J87" s="306">
        <f t="shared" ca="1" si="43"/>
        <v>7.9256320528536568</v>
      </c>
      <c r="K87" s="307">
        <f t="shared" ca="1" si="44"/>
        <v>42.575216993653761</v>
      </c>
      <c r="L87" s="304">
        <f t="shared" ca="1" si="29"/>
        <v>43.30663627544773</v>
      </c>
      <c r="M87" s="306">
        <f t="shared" ca="1" si="45"/>
        <v>1.3805939845605295</v>
      </c>
      <c r="N87" s="304">
        <f t="shared" ca="1" si="46"/>
        <v>79.102208536467884</v>
      </c>
      <c r="P87" s="310">
        <f t="shared" ca="1" si="47"/>
        <v>8</v>
      </c>
      <c r="Q87" s="304">
        <f t="shared" ca="1" si="48"/>
        <v>1298.2149999999999</v>
      </c>
      <c r="R87" s="306">
        <f t="shared" ca="1" si="49"/>
        <v>0.63798406590109746</v>
      </c>
      <c r="S87" s="307">
        <f t="shared" ca="1" si="50"/>
        <v>9.0043641416366285</v>
      </c>
      <c r="T87" s="304">
        <f t="shared" ca="1" si="30"/>
        <v>88.332812229455328</v>
      </c>
      <c r="U87" s="311">
        <f t="shared" ca="1" si="31"/>
        <v>0</v>
      </c>
      <c r="V87" s="306">
        <f t="shared" ca="1" si="32"/>
        <v>1.2197956148097173</v>
      </c>
      <c r="W87" s="304">
        <f t="shared" ca="1" si="33"/>
        <v>42.998098875541622</v>
      </c>
      <c r="Y87" s="314" t="str">
        <f t="shared" ca="1" si="51"/>
        <v/>
      </c>
      <c r="Z87" s="315" t="str">
        <f t="shared" ca="1" si="52"/>
        <v/>
      </c>
      <c r="AA87" s="316" t="str">
        <f t="shared" ca="1" si="53"/>
        <v/>
      </c>
      <c r="AC87" s="310" t="e">
        <f t="shared" ca="1" si="54"/>
        <v>#N/A</v>
      </c>
      <c r="AD87" s="323" t="e">
        <f t="shared" ca="1" si="55"/>
        <v>#N/A</v>
      </c>
      <c r="AE87" s="324">
        <f t="shared" ca="1" si="34"/>
        <v>42.575216993653761</v>
      </c>
      <c r="AG87" s="306">
        <f t="shared" ca="1" si="56"/>
        <v>129.88265207014291</v>
      </c>
      <c r="AH87" s="304">
        <f t="shared" ca="1" si="57"/>
        <v>139.51606061633365</v>
      </c>
    </row>
    <row r="88" spans="1:34" x14ac:dyDescent="0.3">
      <c r="A88" s="347">
        <f t="shared" ca="1" si="35"/>
        <v>0.01</v>
      </c>
      <c r="B88" s="304">
        <f t="shared" ca="1" si="36"/>
        <v>0.84000000000000052</v>
      </c>
      <c r="D88" s="306">
        <f t="shared" ca="1" si="37"/>
        <v>26.324168201414569</v>
      </c>
      <c r="E88" s="307">
        <f t="shared" ca="1" si="38"/>
        <v>126.91785047352516</v>
      </c>
      <c r="F88" s="304">
        <f t="shared" ca="1" si="39"/>
        <v>129.61906727143372</v>
      </c>
      <c r="G88" s="306">
        <f t="shared" ca="1" si="40"/>
        <v>20.427018635152429</v>
      </c>
      <c r="H88" s="307">
        <f t="shared" ca="1" si="41"/>
        <v>105.99992855677503</v>
      </c>
      <c r="I88" s="304">
        <f t="shared" ca="1" si="42"/>
        <v>107.95021048780903</v>
      </c>
      <c r="J88" s="306">
        <f t="shared" ca="1" si="43"/>
        <v>8.1285860307951108</v>
      </c>
      <c r="K88" s="307">
        <f t="shared" ca="1" si="44"/>
        <v>43.628870386697834</v>
      </c>
      <c r="L88" s="304">
        <f t="shared" ca="1" si="29"/>
        <v>44.379637696575628</v>
      </c>
      <c r="M88" s="306">
        <f t="shared" ca="1" si="45"/>
        <v>1.3804221780417041</v>
      </c>
      <c r="N88" s="304">
        <f t="shared" ca="1" si="46"/>
        <v>79.09236474804635</v>
      </c>
      <c r="P88" s="310">
        <f t="shared" ca="1" si="47"/>
        <v>8</v>
      </c>
      <c r="Q88" s="304">
        <f t="shared" ca="1" si="48"/>
        <v>1295.8689999999997</v>
      </c>
      <c r="R88" s="306">
        <f t="shared" ca="1" si="49"/>
        <v>0.63683116702178688</v>
      </c>
      <c r="S88" s="307">
        <f t="shared" ca="1" si="50"/>
        <v>8.9979958299664098</v>
      </c>
      <c r="T88" s="304">
        <f t="shared" ca="1" si="30"/>
        <v>88.270339091970484</v>
      </c>
      <c r="U88" s="311">
        <f t="shared" ca="1" si="31"/>
        <v>0</v>
      </c>
      <c r="V88" s="306">
        <f t="shared" ca="1" si="32"/>
        <v>1.2196670968047438</v>
      </c>
      <c r="W88" s="304">
        <f t="shared" ca="1" si="33"/>
        <v>44.044831820159317</v>
      </c>
      <c r="Y88" s="314" t="str">
        <f t="shared" ca="1" si="51"/>
        <v/>
      </c>
      <c r="Z88" s="315" t="str">
        <f t="shared" ca="1" si="52"/>
        <v/>
      </c>
      <c r="AA88" s="316" t="str">
        <f t="shared" ca="1" si="53"/>
        <v/>
      </c>
      <c r="AC88" s="310" t="e">
        <f t="shared" ca="1" si="54"/>
        <v>#N/A</v>
      </c>
      <c r="AD88" s="323" t="e">
        <f t="shared" ca="1" si="55"/>
        <v>#N/A</v>
      </c>
      <c r="AE88" s="324">
        <f t="shared" ca="1" si="34"/>
        <v>43.628870386697834</v>
      </c>
      <c r="AG88" s="306">
        <f t="shared" ca="1" si="56"/>
        <v>129.60579792289138</v>
      </c>
      <c r="AH88" s="304">
        <f t="shared" ca="1" si="57"/>
        <v>139.23888439156289</v>
      </c>
    </row>
    <row r="89" spans="1:34" x14ac:dyDescent="0.3">
      <c r="A89" s="347">
        <f t="shared" ca="1" si="35"/>
        <v>0.01</v>
      </c>
      <c r="B89" s="304">
        <f t="shared" ca="1" si="36"/>
        <v>0.85000000000000053</v>
      </c>
      <c r="D89" s="306">
        <f t="shared" ca="1" si="37"/>
        <v>26.294886417810346</v>
      </c>
      <c r="E89" s="307">
        <f t="shared" ca="1" si="38"/>
        <v>126.63948053750141</v>
      </c>
      <c r="F89" s="304">
        <f t="shared" ca="1" si="39"/>
        <v>129.3405546707364</v>
      </c>
      <c r="G89" s="306">
        <f t="shared" ca="1" si="40"/>
        <v>20.689967499330532</v>
      </c>
      <c r="H89" s="307">
        <f t="shared" ca="1" si="41"/>
        <v>107.26632336215005</v>
      </c>
      <c r="I89" s="304">
        <f t="shared" ca="1" si="42"/>
        <v>109.24348439498208</v>
      </c>
      <c r="J89" s="306">
        <f t="shared" ca="1" si="43"/>
        <v>8.3341709614675263</v>
      </c>
      <c r="K89" s="307">
        <f t="shared" ca="1" si="44"/>
        <v>44.69520164629246</v>
      </c>
      <c r="L89" s="304">
        <f t="shared" ca="1" si="29"/>
        <v>45.465585400583073</v>
      </c>
      <c r="M89" s="306">
        <f t="shared" ca="1" si="45"/>
        <v>1.3802522539499564</v>
      </c>
      <c r="N89" s="304">
        <f t="shared" ca="1" si="46"/>
        <v>79.082628814751615</v>
      </c>
      <c r="P89" s="310">
        <f t="shared" ca="1" si="47"/>
        <v>8</v>
      </c>
      <c r="Q89" s="304">
        <f t="shared" ca="1" si="48"/>
        <v>1293.5229999999997</v>
      </c>
      <c r="R89" s="306">
        <f t="shared" ca="1" si="49"/>
        <v>0.63567826814247652</v>
      </c>
      <c r="S89" s="307">
        <f t="shared" ca="1" si="50"/>
        <v>8.9916390472849859</v>
      </c>
      <c r="T89" s="304">
        <f t="shared" ca="1" si="30"/>
        <v>88.207979053865714</v>
      </c>
      <c r="U89" s="311">
        <f t="shared" ca="1" si="31"/>
        <v>0</v>
      </c>
      <c r="V89" s="306">
        <f t="shared" ca="1" si="32"/>
        <v>1.2195370461894366</v>
      </c>
      <c r="W89" s="304">
        <f t="shared" ca="1" si="33"/>
        <v>45.101682801436304</v>
      </c>
      <c r="Y89" s="314" t="str">
        <f t="shared" ca="1" si="51"/>
        <v/>
      </c>
      <c r="Z89" s="315" t="str">
        <f t="shared" ca="1" si="52"/>
        <v/>
      </c>
      <c r="AA89" s="316" t="str">
        <f t="shared" ca="1" si="53"/>
        <v/>
      </c>
      <c r="AC89" s="310" t="e">
        <f t="shared" ca="1" si="54"/>
        <v>#N/A</v>
      </c>
      <c r="AD89" s="323" t="e">
        <f t="shared" ca="1" si="55"/>
        <v>#N/A</v>
      </c>
      <c r="AE89" s="324">
        <f t="shared" ca="1" si="34"/>
        <v>44.69520164629246</v>
      </c>
      <c r="AG89" s="306">
        <f t="shared" ca="1" si="56"/>
        <v>129.32723300140952</v>
      </c>
      <c r="AH89" s="304">
        <f t="shared" ca="1" si="57"/>
        <v>138.96000068609501</v>
      </c>
    </row>
    <row r="90" spans="1:34" x14ac:dyDescent="0.3">
      <c r="A90" s="347">
        <f t="shared" ca="1" si="35"/>
        <v>0.01</v>
      </c>
      <c r="B90" s="304">
        <f t="shared" ca="1" si="36"/>
        <v>0.86000000000000054</v>
      </c>
      <c r="D90" s="306">
        <f t="shared" ca="1" si="37"/>
        <v>26.264931724187111</v>
      </c>
      <c r="E90" s="307">
        <f t="shared" ca="1" si="38"/>
        <v>126.35950628378751</v>
      </c>
      <c r="F90" s="304">
        <f t="shared" ca="1" si="39"/>
        <v>129.06034041005296</v>
      </c>
      <c r="G90" s="306">
        <f t="shared" ca="1" si="40"/>
        <v>20.952616816572402</v>
      </c>
      <c r="H90" s="307">
        <f t="shared" ca="1" si="41"/>
        <v>108.52991842498793</v>
      </c>
      <c r="I90" s="304">
        <f t="shared" ca="1" si="42"/>
        <v>110.53395561906146</v>
      </c>
      <c r="J90" s="306">
        <f t="shared" ca="1" si="43"/>
        <v>8.5423838830470409</v>
      </c>
      <c r="K90" s="307">
        <f t="shared" ca="1" si="44"/>
        <v>45.774182855228148</v>
      </c>
      <c r="L90" s="304">
        <f t="shared" ca="1" si="29"/>
        <v>46.564451446024833</v>
      </c>
      <c r="M90" s="306">
        <f t="shared" ca="1" si="45"/>
        <v>1.3800841656201377</v>
      </c>
      <c r="N90" s="304">
        <f t="shared" ca="1" si="46"/>
        <v>79.072998062867597</v>
      </c>
      <c r="P90" s="310">
        <f t="shared" ca="1" si="47"/>
        <v>8</v>
      </c>
      <c r="Q90" s="304">
        <f t="shared" ca="1" si="48"/>
        <v>1291.1769999999997</v>
      </c>
      <c r="R90" s="306">
        <f t="shared" ca="1" si="49"/>
        <v>0.63452536926316605</v>
      </c>
      <c r="S90" s="307">
        <f t="shared" ca="1" si="50"/>
        <v>8.9852937935923549</v>
      </c>
      <c r="T90" s="304">
        <f t="shared" ca="1" si="30"/>
        <v>88.145732115141001</v>
      </c>
      <c r="U90" s="311">
        <f t="shared" ca="1" si="31"/>
        <v>0</v>
      </c>
      <c r="V90" s="306">
        <f t="shared" ca="1" si="32"/>
        <v>1.219405466859383</v>
      </c>
      <c r="W90" s="304">
        <f t="shared" ca="1" si="33"/>
        <v>46.168548740656703</v>
      </c>
      <c r="Y90" s="314" t="str">
        <f t="shared" ca="1" si="51"/>
        <v/>
      </c>
      <c r="Z90" s="315" t="str">
        <f t="shared" ca="1" si="52"/>
        <v/>
      </c>
      <c r="AA90" s="316" t="str">
        <f t="shared" ca="1" si="53"/>
        <v/>
      </c>
      <c r="AC90" s="310" t="e">
        <f t="shared" ca="1" si="54"/>
        <v>#N/A</v>
      </c>
      <c r="AD90" s="323" t="e">
        <f t="shared" ca="1" si="55"/>
        <v>#N/A</v>
      </c>
      <c r="AE90" s="324">
        <f t="shared" ca="1" si="34"/>
        <v>45.774182855228148</v>
      </c>
      <c r="AG90" s="306">
        <f t="shared" ca="1" si="56"/>
        <v>129.04696625835103</v>
      </c>
      <c r="AH90" s="304">
        <f t="shared" ca="1" si="57"/>
        <v>138.67941837218189</v>
      </c>
    </row>
    <row r="91" spans="1:34" x14ac:dyDescent="0.3">
      <c r="A91" s="347">
        <f t="shared" ca="1" si="35"/>
        <v>0.01</v>
      </c>
      <c r="B91" s="304">
        <f t="shared" ca="1" si="36"/>
        <v>0.87000000000000055</v>
      </c>
      <c r="D91" s="306">
        <f t="shared" ca="1" si="37"/>
        <v>26.234312894941915</v>
      </c>
      <c r="E91" s="307">
        <f t="shared" ca="1" si="38"/>
        <v>126.0779353041795</v>
      </c>
      <c r="F91" s="304">
        <f t="shared" ca="1" si="39"/>
        <v>128.77843353463572</v>
      </c>
      <c r="G91" s="306">
        <f t="shared" ca="1" si="40"/>
        <v>21.214959945521819</v>
      </c>
      <c r="H91" s="307">
        <f t="shared" ca="1" si="41"/>
        <v>109.79069777802972</v>
      </c>
      <c r="I91" s="304">
        <f t="shared" ca="1" si="42"/>
        <v>111.82160723257718</v>
      </c>
      <c r="J91" s="306">
        <f t="shared" ca="1" si="43"/>
        <v>8.7532217668575125</v>
      </c>
      <c r="K91" s="307">
        <f t="shared" ca="1" si="44"/>
        <v>46.865785936243235</v>
      </c>
      <c r="L91" s="304">
        <f t="shared" ca="1" si="29"/>
        <v>47.676207721688208</v>
      </c>
      <c r="M91" s="306">
        <f t="shared" ca="1" si="45"/>
        <v>1.3799178680752175</v>
      </c>
      <c r="N91" s="304">
        <f t="shared" ca="1" si="46"/>
        <v>79.06346991540029</v>
      </c>
      <c r="P91" s="310">
        <f t="shared" ca="1" si="47"/>
        <v>8</v>
      </c>
      <c r="Q91" s="304">
        <f t="shared" ca="1" si="48"/>
        <v>1288.8309999999997</v>
      </c>
      <c r="R91" s="306">
        <f t="shared" ca="1" si="49"/>
        <v>0.63337247038385569</v>
      </c>
      <c r="S91" s="307">
        <f t="shared" ca="1" si="50"/>
        <v>8.9789600688885169</v>
      </c>
      <c r="T91" s="304">
        <f t="shared" ca="1" si="30"/>
        <v>88.083598275796362</v>
      </c>
      <c r="U91" s="311">
        <f t="shared" ca="1" si="31"/>
        <v>0</v>
      </c>
      <c r="V91" s="306">
        <f t="shared" ca="1" si="32"/>
        <v>1.2192723627339119</v>
      </c>
      <c r="W91" s="304">
        <f t="shared" ca="1" si="33"/>
        <v>47.245326127227017</v>
      </c>
      <c r="Y91" s="314" t="str">
        <f t="shared" ca="1" si="51"/>
        <v/>
      </c>
      <c r="Z91" s="315" t="str">
        <f t="shared" ca="1" si="52"/>
        <v/>
      </c>
      <c r="AA91" s="316" t="str">
        <f t="shared" ca="1" si="53"/>
        <v/>
      </c>
      <c r="AC91" s="310" t="e">
        <f t="shared" ca="1" si="54"/>
        <v>#N/A</v>
      </c>
      <c r="AD91" s="323" t="e">
        <f t="shared" ca="1" si="55"/>
        <v>#N/A</v>
      </c>
      <c r="AE91" s="324">
        <f t="shared" ca="1" si="34"/>
        <v>46.865785936243235</v>
      </c>
      <c r="AG91" s="306">
        <f t="shared" ca="1" si="56"/>
        <v>128.76500673095282</v>
      </c>
      <c r="AH91" s="304">
        <f t="shared" ca="1" si="57"/>
        <v>138.39714640953616</v>
      </c>
    </row>
    <row r="92" spans="1:34" x14ac:dyDescent="0.3">
      <c r="A92" s="347">
        <f t="shared" ca="1" si="35"/>
        <v>0.01</v>
      </c>
      <c r="B92" s="304">
        <f t="shared" ca="1" si="36"/>
        <v>0.88000000000000056</v>
      </c>
      <c r="D92" s="306">
        <f t="shared" ca="1" si="37"/>
        <v>26.203038463414039</v>
      </c>
      <c r="E92" s="307">
        <f t="shared" ca="1" si="38"/>
        <v>125.79477531846771</v>
      </c>
      <c r="F92" s="304">
        <f t="shared" ca="1" si="39"/>
        <v>128.49484317333102</v>
      </c>
      <c r="G92" s="306">
        <f t="shared" ca="1" si="40"/>
        <v>21.47699033015596</v>
      </c>
      <c r="H92" s="307">
        <f t="shared" ca="1" si="41"/>
        <v>111.0486455312144</v>
      </c>
      <c r="I92" s="304">
        <f t="shared" ca="1" si="42"/>
        <v>113.10642239925599</v>
      </c>
      <c r="J92" s="306">
        <f t="shared" ca="1" si="43"/>
        <v>8.9666815182359016</v>
      </c>
      <c r="K92" s="307">
        <f t="shared" ca="1" si="44"/>
        <v>47.969982652789454</v>
      </c>
      <c r="L92" s="304">
        <f t="shared" ca="1" si="29"/>
        <v>48.800825947502105</v>
      </c>
      <c r="M92" s="306">
        <f t="shared" ca="1" si="45"/>
        <v>1.3797533179452612</v>
      </c>
      <c r="N92" s="304">
        <f t="shared" ca="1" si="46"/>
        <v>79.05404188743546</v>
      </c>
      <c r="P92" s="310">
        <f t="shared" ca="1" si="47"/>
        <v>8</v>
      </c>
      <c r="Q92" s="304">
        <f t="shared" ca="1" si="48"/>
        <v>1286.4849999999997</v>
      </c>
      <c r="R92" s="306">
        <f t="shared" ca="1" si="49"/>
        <v>0.63221957150454522</v>
      </c>
      <c r="S92" s="307">
        <f t="shared" ca="1" si="50"/>
        <v>8.9726378731734719</v>
      </c>
      <c r="T92" s="304">
        <f t="shared" ca="1" si="30"/>
        <v>88.021577535831767</v>
      </c>
      <c r="U92" s="311">
        <f t="shared" ca="1" si="31"/>
        <v>0</v>
      </c>
      <c r="V92" s="306">
        <f t="shared" ca="1" si="32"/>
        <v>1.2191377377559409</v>
      </c>
      <c r="W92" s="304">
        <f t="shared" ca="1" si="33"/>
        <v>48.331911029248012</v>
      </c>
      <c r="Y92" s="314" t="str">
        <f t="shared" ca="1" si="51"/>
        <v/>
      </c>
      <c r="Z92" s="315" t="str">
        <f t="shared" ca="1" si="52"/>
        <v/>
      </c>
      <c r="AA92" s="316" t="str">
        <f t="shared" ca="1" si="53"/>
        <v/>
      </c>
      <c r="AC92" s="310" t="e">
        <f t="shared" ca="1" si="54"/>
        <v>#N/A</v>
      </c>
      <c r="AD92" s="323" t="e">
        <f t="shared" ca="1" si="55"/>
        <v>#N/A</v>
      </c>
      <c r="AE92" s="324">
        <f t="shared" ca="1" si="34"/>
        <v>47.969982652789454</v>
      </c>
      <c r="AG92" s="306">
        <f t="shared" ca="1" si="56"/>
        <v>128.48136354019223</v>
      </c>
      <c r="AH92" s="304">
        <f t="shared" ca="1" si="57"/>
        <v>138.11319384435097</v>
      </c>
    </row>
    <row r="93" spans="1:34" x14ac:dyDescent="0.3">
      <c r="A93" s="347">
        <f t="shared" ca="1" si="35"/>
        <v>0.01</v>
      </c>
      <c r="B93" s="304">
        <f t="shared" ca="1" si="36"/>
        <v>0.89000000000000057</v>
      </c>
      <c r="D93" s="306">
        <f t="shared" ca="1" si="37"/>
        <v>26.171116734229205</v>
      </c>
      <c r="E93" s="307">
        <f t="shared" ca="1" si="38"/>
        <v>125.51003417139631</v>
      </c>
      <c r="F93" s="304">
        <f t="shared" ca="1" si="39"/>
        <v>128.20957853772751</v>
      </c>
      <c r="G93" s="306">
        <f t="shared" ca="1" si="40"/>
        <v>21.738701497498251</v>
      </c>
      <c r="H93" s="307">
        <f t="shared" ca="1" si="41"/>
        <v>112.30374587292837</v>
      </c>
      <c r="I93" s="304">
        <f t="shared" ca="1" si="42"/>
        <v>114.3883843748508</v>
      </c>
      <c r="J93" s="306">
        <f t="shared" ca="1" si="43"/>
        <v>9.1827599773741735</v>
      </c>
      <c r="K93" s="307">
        <f t="shared" ca="1" si="44"/>
        <v>49.086744609810168</v>
      </c>
      <c r="L93" s="304">
        <f t="shared" ca="1" si="29"/>
        <v>49.938277675454451</v>
      </c>
      <c r="M93" s="306">
        <f t="shared" ca="1" si="45"/>
        <v>1.3795904733912265</v>
      </c>
      <c r="N93" s="304">
        <f t="shared" ca="1" si="46"/>
        <v>79.044711581772575</v>
      </c>
      <c r="P93" s="310">
        <f t="shared" ca="1" si="47"/>
        <v>8</v>
      </c>
      <c r="Q93" s="304">
        <f t="shared" ca="1" si="48"/>
        <v>1284.1389999999997</v>
      </c>
      <c r="R93" s="306">
        <f t="shared" ca="1" si="49"/>
        <v>0.63106667262523486</v>
      </c>
      <c r="S93" s="307">
        <f t="shared" ca="1" si="50"/>
        <v>8.9663272064472199</v>
      </c>
      <c r="T93" s="304">
        <f t="shared" ca="1" si="30"/>
        <v>87.959669895247231</v>
      </c>
      <c r="U93" s="311">
        <f t="shared" ca="1" si="31"/>
        <v>0</v>
      </c>
      <c r="V93" s="306">
        <f t="shared" ca="1" si="32"/>
        <v>1.2190015958918248</v>
      </c>
      <c r="W93" s="304">
        <f t="shared" ca="1" si="33"/>
        <v>49.428199104118328</v>
      </c>
      <c r="Y93" s="314" t="str">
        <f t="shared" ca="1" si="51"/>
        <v/>
      </c>
      <c r="Z93" s="315" t="str">
        <f t="shared" ca="1" si="52"/>
        <v/>
      </c>
      <c r="AA93" s="316" t="str">
        <f t="shared" ca="1" si="53"/>
        <v/>
      </c>
      <c r="AC93" s="310" t="e">
        <f t="shared" ca="1" si="54"/>
        <v>#N/A</v>
      </c>
      <c r="AD93" s="323" t="e">
        <f t="shared" ca="1" si="55"/>
        <v>#N/A</v>
      </c>
      <c r="AE93" s="324">
        <f t="shared" ca="1" si="34"/>
        <v>49.086744609810168</v>
      </c>
      <c r="AG93" s="306">
        <f t="shared" ca="1" si="56"/>
        <v>128.19604588992638</v>
      </c>
      <c r="AH93" s="304">
        <f t="shared" ca="1" si="57"/>
        <v>137.82756980830982</v>
      </c>
    </row>
    <row r="94" spans="1:34" x14ac:dyDescent="0.3">
      <c r="A94" s="347">
        <f t="shared" ca="1" si="35"/>
        <v>0.01</v>
      </c>
      <c r="B94" s="304">
        <f t="shared" ca="1" si="36"/>
        <v>0.90000000000000058</v>
      </c>
      <c r="D94" s="306">
        <f t="shared" ca="1" si="37"/>
        <v>26.138555794896565</v>
      </c>
      <c r="E94" s="307">
        <f t="shared" ca="1" si="38"/>
        <v>125.22371982973513</v>
      </c>
      <c r="F94" s="304">
        <f t="shared" ca="1" si="39"/>
        <v>127.92264892128726</v>
      </c>
      <c r="G94" s="306">
        <f t="shared" ca="1" si="40"/>
        <v>22.000087055447217</v>
      </c>
      <c r="H94" s="307">
        <f t="shared" ca="1" si="41"/>
        <v>113.55598307122573</v>
      </c>
      <c r="I94" s="304">
        <f t="shared" ca="1" si="42"/>
        <v>115.66747650796123</v>
      </c>
      <c r="J94" s="306">
        <f t="shared" ca="1" si="43"/>
        <v>9.4014539201389002</v>
      </c>
      <c r="K94" s="307">
        <f t="shared" ca="1" si="44"/>
        <v>50.216043254530938</v>
      </c>
      <c r="L94" s="304">
        <f t="shared" ca="1" si="29"/>
        <v>51.088534290517842</v>
      </c>
      <c r="M94" s="306">
        <f t="shared" ca="1" si="45"/>
        <v>1.3794292940332373</v>
      </c>
      <c r="N94" s="304">
        <f t="shared" ca="1" si="46"/>
        <v>79.035476684815166</v>
      </c>
      <c r="P94" s="310">
        <f t="shared" ca="1" si="47"/>
        <v>8</v>
      </c>
      <c r="Q94" s="304">
        <f t="shared" ca="1" si="48"/>
        <v>1281.7929999999997</v>
      </c>
      <c r="R94" s="306">
        <f t="shared" ca="1" si="49"/>
        <v>0.62991377374592439</v>
      </c>
      <c r="S94" s="307">
        <f t="shared" ca="1" si="50"/>
        <v>8.9600280687097609</v>
      </c>
      <c r="T94" s="304">
        <f t="shared" ca="1" si="30"/>
        <v>87.897875354042753</v>
      </c>
      <c r="U94" s="311">
        <f t="shared" ca="1" si="31"/>
        <v>0</v>
      </c>
      <c r="V94" s="306">
        <f t="shared" ca="1" si="32"/>
        <v>1.2188639411311983</v>
      </c>
      <c r="W94" s="304">
        <f t="shared" ca="1" si="33"/>
        <v>50.534085609167597</v>
      </c>
      <c r="Y94" s="314" t="str">
        <f t="shared" ca="1" si="51"/>
        <v/>
      </c>
      <c r="Z94" s="315" t="str">
        <f t="shared" ca="1" si="52"/>
        <v/>
      </c>
      <c r="AA94" s="316" t="str">
        <f t="shared" ca="1" si="53"/>
        <v/>
      </c>
      <c r="AC94" s="310" t="e">
        <f t="shared" ca="1" si="54"/>
        <v>#N/A</v>
      </c>
      <c r="AD94" s="323" t="e">
        <f t="shared" ca="1" si="55"/>
        <v>#N/A</v>
      </c>
      <c r="AE94" s="324">
        <f t="shared" ca="1" si="34"/>
        <v>50.216043254530938</v>
      </c>
      <c r="AG94" s="306">
        <f t="shared" ca="1" si="56"/>
        <v>127.90906306601465</v>
      </c>
      <c r="AH94" s="304">
        <f t="shared" ca="1" si="57"/>
        <v>137.5402835175874</v>
      </c>
    </row>
    <row r="95" spans="1:34" x14ac:dyDescent="0.3">
      <c r="A95" s="347">
        <f t="shared" ca="1" si="35"/>
        <v>0.01</v>
      </c>
      <c r="B95" s="304">
        <f t="shared" ca="1" si="36"/>
        <v>0.91000000000000059</v>
      </c>
      <c r="D95" s="306">
        <f t="shared" ca="1" si="37"/>
        <v>26.097604732269001</v>
      </c>
      <c r="E95" s="307">
        <f t="shared" ca="1" si="38"/>
        <v>124.89579246836689</v>
      </c>
      <c r="F95" s="304">
        <f t="shared" ca="1" si="39"/>
        <v>127.59327548528222</v>
      </c>
      <c r="G95" s="306">
        <f t="shared" ca="1" si="40"/>
        <v>22.261063102769906</v>
      </c>
      <c r="H95" s="307">
        <f t="shared" ca="1" si="41"/>
        <v>114.80494099590939</v>
      </c>
      <c r="I95" s="304">
        <f t="shared" ca="1" si="42"/>
        <v>116.94327431511289</v>
      </c>
      <c r="J95" s="306">
        <f t="shared" ca="1" si="43"/>
        <v>9.6227596709299856</v>
      </c>
      <c r="K95" s="307">
        <f t="shared" ca="1" si="44"/>
        <v>51.357847874866614</v>
      </c>
      <c r="L95" s="304">
        <f t="shared" ca="1" si="29"/>
        <v>52.251564971993119</v>
      </c>
      <c r="M95" s="306">
        <f t="shared" ca="1" si="45"/>
        <v>1.3792697403264633</v>
      </c>
      <c r="N95" s="304">
        <f t="shared" ca="1" si="46"/>
        <v>79.026334930811359</v>
      </c>
      <c r="P95" s="310">
        <f t="shared" ca="1" si="47"/>
        <v>9</v>
      </c>
      <c r="Q95" s="304">
        <f t="shared" ca="1" si="48"/>
        <v>1279.0819999999997</v>
      </c>
      <c r="R95" s="306">
        <f t="shared" ca="1" si="49"/>
        <v>0.62858150227882692</v>
      </c>
      <c r="S95" s="307">
        <f t="shared" ca="1" si="50"/>
        <v>8.953742253686972</v>
      </c>
      <c r="T95" s="304">
        <f t="shared" ca="1" si="30"/>
        <v>87.836211508669194</v>
      </c>
      <c r="U95" s="311">
        <f t="shared" ca="1" si="31"/>
        <v>0</v>
      </c>
      <c r="V95" s="306">
        <f t="shared" ca="1" si="32"/>
        <v>1.2187247777308627</v>
      </c>
      <c r="W95" s="304">
        <f t="shared" ca="1" si="33"/>
        <v>51.649105093502286</v>
      </c>
      <c r="Y95" s="314" t="str">
        <f t="shared" ca="1" si="51"/>
        <v/>
      </c>
      <c r="Z95" s="315" t="str">
        <f t="shared" ca="1" si="52"/>
        <v/>
      </c>
      <c r="AA95" s="316" t="str">
        <f t="shared" ca="1" si="53"/>
        <v/>
      </c>
      <c r="AC95" s="310" t="e">
        <f t="shared" ca="1" si="54"/>
        <v>#N/A</v>
      </c>
      <c r="AD95" s="323" t="e">
        <f t="shared" ca="1" si="55"/>
        <v>#N/A</v>
      </c>
      <c r="AE95" s="324">
        <f t="shared" ca="1" si="34"/>
        <v>51.357847874866614</v>
      </c>
      <c r="AG95" s="306">
        <f t="shared" ca="1" si="56"/>
        <v>127.57963186166747</v>
      </c>
      <c r="AH95" s="304">
        <f t="shared" ca="1" si="57"/>
        <v>137.21055169808363</v>
      </c>
    </row>
    <row r="96" spans="1:34" x14ac:dyDescent="0.3">
      <c r="A96" s="347">
        <f t="shared" ca="1" si="35"/>
        <v>0.01</v>
      </c>
      <c r="B96" s="304">
        <f t="shared" ca="1" si="36"/>
        <v>0.9200000000000006</v>
      </c>
      <c r="D96" s="306">
        <f t="shared" ca="1" si="37"/>
        <v>26.048238283527606</v>
      </c>
      <c r="E96" s="307">
        <f t="shared" ca="1" si="38"/>
        <v>124.52619254309906</v>
      </c>
      <c r="F96" s="304">
        <f t="shared" ca="1" si="39"/>
        <v>127.22139500475701</v>
      </c>
      <c r="G96" s="306">
        <f t="shared" ca="1" si="40"/>
        <v>22.521545485605184</v>
      </c>
      <c r="H96" s="307">
        <f t="shared" ca="1" si="41"/>
        <v>116.05020292134039</v>
      </c>
      <c r="I96" s="304">
        <f t="shared" ca="1" si="42"/>
        <v>118.21535267952494</v>
      </c>
      <c r="J96" s="306">
        <f t="shared" ca="1" si="43"/>
        <v>9.846672713871861</v>
      </c>
      <c r="K96" s="307">
        <f t="shared" ca="1" si="44"/>
        <v>52.512123594452866</v>
      </c>
      <c r="L96" s="304">
        <f t="shared" ca="1" si="29"/>
        <v>53.427334651217649</v>
      </c>
      <c r="M96" s="306">
        <f t="shared" ca="1" si="45"/>
        <v>1.3791117735418914</v>
      </c>
      <c r="N96" s="304">
        <f t="shared" ca="1" si="46"/>
        <v>79.017284100752136</v>
      </c>
      <c r="P96" s="310">
        <f t="shared" ca="1" si="47"/>
        <v>9</v>
      </c>
      <c r="Q96" s="304">
        <f t="shared" ca="1" si="48"/>
        <v>1276.0059999999996</v>
      </c>
      <c r="R96" s="306">
        <f t="shared" ca="1" si="49"/>
        <v>0.62706985822394257</v>
      </c>
      <c r="S96" s="307">
        <f t="shared" ca="1" si="50"/>
        <v>8.9474715551047321</v>
      </c>
      <c r="T96" s="304">
        <f t="shared" ca="1" si="30"/>
        <v>87.774695955577428</v>
      </c>
      <c r="U96" s="311">
        <f t="shared" ca="1" si="31"/>
        <v>0</v>
      </c>
      <c r="V96" s="306">
        <f t="shared" ca="1" si="32"/>
        <v>1.218584110458907</v>
      </c>
      <c r="W96" s="304">
        <f t="shared" ca="1" si="33"/>
        <v>52.77277558217434</v>
      </c>
      <c r="Y96" s="314" t="str">
        <f t="shared" ca="1" si="51"/>
        <v/>
      </c>
      <c r="Z96" s="315" t="str">
        <f t="shared" ca="1" si="52"/>
        <v/>
      </c>
      <c r="AA96" s="316" t="str">
        <f t="shared" ca="1" si="53"/>
        <v/>
      </c>
      <c r="AC96" s="310" t="e">
        <f t="shared" ca="1" si="54"/>
        <v>#N/A</v>
      </c>
      <c r="AD96" s="323" t="e">
        <f t="shared" ca="1" si="55"/>
        <v>#N/A</v>
      </c>
      <c r="AE96" s="324">
        <f t="shared" ca="1" si="34"/>
        <v>52.512123594452866</v>
      </c>
      <c r="AG96" s="306">
        <f t="shared" ca="1" si="56"/>
        <v>127.20768894683548</v>
      </c>
      <c r="AH96" s="304">
        <f t="shared" ca="1" si="57"/>
        <v>136.83831095366537</v>
      </c>
    </row>
    <row r="97" spans="1:34" x14ac:dyDescent="0.3">
      <c r="A97" s="347">
        <f t="shared" ca="1" si="35"/>
        <v>0.01</v>
      </c>
      <c r="B97" s="304">
        <f t="shared" ca="1" si="36"/>
        <v>0.9300000000000006</v>
      </c>
      <c r="D97" s="306">
        <f t="shared" ca="1" si="37"/>
        <v>25.998214209416403</v>
      </c>
      <c r="E97" s="307">
        <f t="shared" ca="1" si="38"/>
        <v>124.15496419500386</v>
      </c>
      <c r="F97" s="304">
        <f t="shared" ca="1" si="39"/>
        <v>126.84779176769847</v>
      </c>
      <c r="G97" s="306">
        <f t="shared" ca="1" si="40"/>
        <v>22.781527627699347</v>
      </c>
      <c r="H97" s="307">
        <f t="shared" ca="1" si="41"/>
        <v>117.29175256329043</v>
      </c>
      <c r="I97" s="304">
        <f t="shared" ca="1" si="42"/>
        <v>119.48369437048629</v>
      </c>
      <c r="J97" s="306">
        <f t="shared" ca="1" si="43"/>
        <v>10.073188079438383</v>
      </c>
      <c r="K97" s="307">
        <f t="shared" ca="1" si="44"/>
        <v>53.678833371876017</v>
      </c>
      <c r="L97" s="304">
        <f t="shared" ca="1" si="29"/>
        <v>54.615806047785924</v>
      </c>
      <c r="M97" s="306">
        <f t="shared" ca="1" si="45"/>
        <v>1.3789553562817984</v>
      </c>
      <c r="N97" s="304">
        <f t="shared" ca="1" si="46"/>
        <v>79.008322051905807</v>
      </c>
      <c r="P97" s="310">
        <f t="shared" ca="1" si="47"/>
        <v>9</v>
      </c>
      <c r="Q97" s="304">
        <f t="shared" ca="1" si="48"/>
        <v>1272.9299999999996</v>
      </c>
      <c r="R97" s="306">
        <f t="shared" ca="1" si="49"/>
        <v>0.6255582141690581</v>
      </c>
      <c r="S97" s="307">
        <f t="shared" ca="1" si="50"/>
        <v>8.9412159729630414</v>
      </c>
      <c r="T97" s="304">
        <f t="shared" ca="1" si="30"/>
        <v>87.713328694767441</v>
      </c>
      <c r="U97" s="311">
        <f t="shared" ca="1" si="31"/>
        <v>0</v>
      </c>
      <c r="V97" s="306">
        <f t="shared" ca="1" si="32"/>
        <v>1.2184419443507672</v>
      </c>
      <c r="W97" s="304">
        <f t="shared" ca="1" si="33"/>
        <v>53.904967271298005</v>
      </c>
      <c r="Y97" s="314" t="str">
        <f t="shared" ca="1" si="51"/>
        <v/>
      </c>
      <c r="Z97" s="315" t="str">
        <f t="shared" ca="1" si="52"/>
        <v/>
      </c>
      <c r="AA97" s="316" t="str">
        <f t="shared" ca="1" si="53"/>
        <v/>
      </c>
      <c r="AC97" s="310" t="e">
        <f t="shared" ca="1" si="54"/>
        <v>#N/A</v>
      </c>
      <c r="AD97" s="323" t="e">
        <f t="shared" ca="1" si="55"/>
        <v>#N/A</v>
      </c>
      <c r="AE97" s="324">
        <f t="shared" ca="1" si="34"/>
        <v>53.678833371876017</v>
      </c>
      <c r="AG97" s="306">
        <f t="shared" ca="1" si="56"/>
        <v>126.83402292958485</v>
      </c>
      <c r="AH97" s="304">
        <f t="shared" ca="1" si="57"/>
        <v>136.46434982751856</v>
      </c>
    </row>
    <row r="98" spans="1:34" x14ac:dyDescent="0.3">
      <c r="A98" s="347">
        <f t="shared" ca="1" si="35"/>
        <v>0.01</v>
      </c>
      <c r="B98" s="304">
        <f t="shared" ca="1" si="36"/>
        <v>0.94000000000000061</v>
      </c>
      <c r="D98" s="306">
        <f t="shared" ca="1" si="37"/>
        <v>25.947540920598922</v>
      </c>
      <c r="E98" s="307">
        <f t="shared" ca="1" si="38"/>
        <v>123.78211897556545</v>
      </c>
      <c r="F98" s="304">
        <f t="shared" ca="1" si="39"/>
        <v>126.4724786580353</v>
      </c>
      <c r="G98" s="306">
        <f t="shared" ca="1" si="40"/>
        <v>23.041003036905337</v>
      </c>
      <c r="H98" s="307">
        <f t="shared" ca="1" si="41"/>
        <v>118.52957375304608</v>
      </c>
      <c r="I98" s="304">
        <f t="shared" ca="1" si="42"/>
        <v>120.74828228602455</v>
      </c>
      <c r="J98" s="306">
        <f t="shared" ca="1" si="43"/>
        <v>10.302300732761406</v>
      </c>
      <c r="K98" s="307">
        <f t="shared" ca="1" si="44"/>
        <v>54.857940003457699</v>
      </c>
      <c r="L98" s="304">
        <f t="shared" ca="1" si="29"/>
        <v>55.816941709585095</v>
      </c>
      <c r="M98" s="306">
        <f t="shared" ca="1" si="45"/>
        <v>1.3788004524189155</v>
      </c>
      <c r="N98" s="304">
        <f t="shared" ca="1" si="46"/>
        <v>78.999446714332336</v>
      </c>
      <c r="P98" s="310">
        <f t="shared" ca="1" si="47"/>
        <v>9</v>
      </c>
      <c r="Q98" s="304">
        <f t="shared" ca="1" si="48"/>
        <v>1269.8539999999998</v>
      </c>
      <c r="R98" s="306">
        <f t="shared" ca="1" si="49"/>
        <v>0.62404657011417375</v>
      </c>
      <c r="S98" s="307">
        <f t="shared" ca="1" si="50"/>
        <v>8.9349755072618997</v>
      </c>
      <c r="T98" s="304">
        <f t="shared" ca="1" si="30"/>
        <v>87.652109726239246</v>
      </c>
      <c r="U98" s="311">
        <f t="shared" ca="1" si="31"/>
        <v>0</v>
      </c>
      <c r="V98" s="306">
        <f t="shared" ca="1" si="32"/>
        <v>1.2182982844650134</v>
      </c>
      <c r="W98" s="304">
        <f t="shared" ca="1" si="33"/>
        <v>55.045550141074528</v>
      </c>
      <c r="Y98" s="314" t="str">
        <f t="shared" ca="1" si="51"/>
        <v/>
      </c>
      <c r="Z98" s="315" t="str">
        <f t="shared" ca="1" si="52"/>
        <v/>
      </c>
      <c r="AA98" s="316" t="str">
        <f t="shared" ca="1" si="53"/>
        <v/>
      </c>
      <c r="AC98" s="310" t="e">
        <f t="shared" ca="1" si="54"/>
        <v>#N/A</v>
      </c>
      <c r="AD98" s="323" t="e">
        <f t="shared" ca="1" si="55"/>
        <v>#N/A</v>
      </c>
      <c r="AE98" s="324">
        <f t="shared" ca="1" si="34"/>
        <v>54.857940003457699</v>
      </c>
      <c r="AG98" s="306">
        <f t="shared" ca="1" si="56"/>
        <v>126.4586466848279</v>
      </c>
      <c r="AH98" s="304">
        <f t="shared" ca="1" si="57"/>
        <v>136.08868113185531</v>
      </c>
    </row>
    <row r="99" spans="1:34" x14ac:dyDescent="0.3">
      <c r="A99" s="347">
        <f t="shared" ca="1" si="35"/>
        <v>0.01</v>
      </c>
      <c r="B99" s="304">
        <f t="shared" ca="1" si="36"/>
        <v>0.95000000000000062</v>
      </c>
      <c r="D99" s="306">
        <f t="shared" ca="1" si="37"/>
        <v>25.896226640788555</v>
      </c>
      <c r="E99" s="307">
        <f t="shared" ca="1" si="38"/>
        <v>123.40766854630863</v>
      </c>
      <c r="F99" s="304">
        <f t="shared" ca="1" si="39"/>
        <v>126.09546863494603</v>
      </c>
      <c r="G99" s="306">
        <f t="shared" ca="1" si="40"/>
        <v>23.299965303313222</v>
      </c>
      <c r="H99" s="307">
        <f t="shared" ca="1" si="41"/>
        <v>119.76365043850916</v>
      </c>
      <c r="I99" s="304">
        <f t="shared" ca="1" si="42"/>
        <v>122.00909945365966</v>
      </c>
      <c r="J99" s="306">
        <f t="shared" ca="1" si="43"/>
        <v>10.534005574462499</v>
      </c>
      <c r="K99" s="307">
        <f t="shared" ca="1" si="44"/>
        <v>56.049406124415476</v>
      </c>
      <c r="L99" s="304">
        <f t="shared" ca="1" si="29"/>
        <v>57.030704014087618</v>
      </c>
      <c r="M99" s="306">
        <f t="shared" ca="1" si="45"/>
        <v>1.3786470270390385</v>
      </c>
      <c r="N99" s="304">
        <f t="shared" ca="1" si="46"/>
        <v>78.990656087595198</v>
      </c>
      <c r="P99" s="310">
        <f t="shared" ca="1" si="47"/>
        <v>9</v>
      </c>
      <c r="Q99" s="304">
        <f t="shared" ca="1" si="48"/>
        <v>1266.7779999999998</v>
      </c>
      <c r="R99" s="306">
        <f t="shared" ca="1" si="49"/>
        <v>0.6225349260592894</v>
      </c>
      <c r="S99" s="307">
        <f t="shared" ca="1" si="50"/>
        <v>8.9287501580013071</v>
      </c>
      <c r="T99" s="304">
        <f t="shared" ca="1" si="30"/>
        <v>87.59103904999283</v>
      </c>
      <c r="U99" s="311">
        <f t="shared" ca="1" si="31"/>
        <v>0</v>
      </c>
      <c r="V99" s="306">
        <f t="shared" ca="1" si="32"/>
        <v>1.2181531358831372</v>
      </c>
      <c r="W99" s="304">
        <f t="shared" ca="1" si="33"/>
        <v>56.194393969591665</v>
      </c>
      <c r="Y99" s="314" t="str">
        <f t="shared" ca="1" si="51"/>
        <v/>
      </c>
      <c r="Z99" s="315" t="str">
        <f t="shared" ca="1" si="52"/>
        <v/>
      </c>
      <c r="AA99" s="316" t="str">
        <f t="shared" ca="1" si="53"/>
        <v/>
      </c>
      <c r="AC99" s="310" t="e">
        <f t="shared" ca="1" si="54"/>
        <v>#N/A</v>
      </c>
      <c r="AD99" s="323" t="e">
        <f t="shared" ca="1" si="55"/>
        <v>#N/A</v>
      </c>
      <c r="AE99" s="324">
        <f t="shared" ca="1" si="34"/>
        <v>56.049406124415476</v>
      </c>
      <c r="AG99" s="306">
        <f t="shared" ca="1" si="56"/>
        <v>126.08157316278441</v>
      </c>
      <c r="AH99" s="304">
        <f t="shared" ca="1" si="57"/>
        <v>135.71131775627717</v>
      </c>
    </row>
    <row r="100" spans="1:34" x14ac:dyDescent="0.3">
      <c r="A100" s="347">
        <f t="shared" ca="1" si="35"/>
        <v>0.01</v>
      </c>
      <c r="B100" s="304">
        <f t="shared" ca="1" si="36"/>
        <v>0.96000000000000063</v>
      </c>
      <c r="D100" s="306">
        <f t="shared" ca="1" si="37"/>
        <v>25.844279415737351</v>
      </c>
      <c r="E100" s="307">
        <f t="shared" ca="1" si="38"/>
        <v>123.03162467578409</v>
      </c>
      <c r="F100" s="304">
        <f t="shared" ca="1" si="39"/>
        <v>125.71677473146417</v>
      </c>
      <c r="G100" s="306">
        <f t="shared" ca="1" si="40"/>
        <v>23.558408097470597</v>
      </c>
      <c r="H100" s="307">
        <f t="shared" ca="1" si="41"/>
        <v>120.993966685267</v>
      </c>
      <c r="I100" s="304">
        <f t="shared" ca="1" si="42"/>
        <v>123.26612903114329</v>
      </c>
      <c r="J100" s="306">
        <f t="shared" ca="1" si="43"/>
        <v>10.768297441466418</v>
      </c>
      <c r="K100" s="307">
        <f t="shared" ca="1" si="44"/>
        <v>57.253194210034358</v>
      </c>
      <c r="L100" s="304">
        <f t="shared" ca="1" si="29"/>
        <v>58.257055169651373</v>
      </c>
      <c r="M100" s="306">
        <f t="shared" ca="1" si="45"/>
        <v>1.3784950463868519</v>
      </c>
      <c r="N100" s="304">
        <f t="shared" ca="1" si="46"/>
        <v>78.981948237657264</v>
      </c>
      <c r="P100" s="310">
        <f t="shared" ca="1" si="47"/>
        <v>9</v>
      </c>
      <c r="Q100" s="304">
        <f t="shared" ca="1" si="48"/>
        <v>1263.7019999999998</v>
      </c>
      <c r="R100" s="306">
        <f t="shared" ca="1" si="49"/>
        <v>0.62102328200440493</v>
      </c>
      <c r="S100" s="307">
        <f t="shared" ca="1" si="50"/>
        <v>8.9225399251812636</v>
      </c>
      <c r="T100" s="304">
        <f t="shared" ca="1" si="30"/>
        <v>87.530116666028206</v>
      </c>
      <c r="U100" s="311">
        <f t="shared" ca="1" si="31"/>
        <v>0</v>
      </c>
      <c r="V100" s="306">
        <f t="shared" ca="1" si="32"/>
        <v>1.2180065037093375</v>
      </c>
      <c r="W100" s="304">
        <f t="shared" ca="1" si="33"/>
        <v>57.351368346606769</v>
      </c>
      <c r="Y100" s="314" t="str">
        <f t="shared" ca="1" si="51"/>
        <v/>
      </c>
      <c r="Z100" s="315" t="str">
        <f t="shared" ca="1" si="52"/>
        <v/>
      </c>
      <c r="AA100" s="316" t="str">
        <f t="shared" ca="1" si="53"/>
        <v/>
      </c>
      <c r="AC100" s="310" t="e">
        <f t="shared" ca="1" si="54"/>
        <v>#N/A</v>
      </c>
      <c r="AD100" s="323" t="e">
        <f t="shared" ca="1" si="55"/>
        <v>#N/A</v>
      </c>
      <c r="AE100" s="324">
        <f t="shared" ca="1" si="34"/>
        <v>57.253194210034358</v>
      </c>
      <c r="AG100" s="306">
        <f t="shared" ca="1" si="56"/>
        <v>125.70281538758007</v>
      </c>
      <c r="AH100" s="304">
        <f t="shared" ca="1" si="57"/>
        <v>135.33227266628089</v>
      </c>
    </row>
    <row r="101" spans="1:34" x14ac:dyDescent="0.3">
      <c r="A101" s="347">
        <f t="shared" ca="1" si="35"/>
        <v>0.01</v>
      </c>
      <c r="B101" s="304">
        <f t="shared" ca="1" si="36"/>
        <v>0.97000000000000064</v>
      </c>
      <c r="D101" s="306">
        <f t="shared" ca="1" si="37"/>
        <v>25.791707121704217</v>
      </c>
      <c r="E101" s="307">
        <f t="shared" ca="1" si="38"/>
        <v>122.65399923663335</v>
      </c>
      <c r="F101" s="304">
        <f t="shared" ca="1" si="39"/>
        <v>125.33641005307206</v>
      </c>
      <c r="G101" s="306">
        <f t="shared" ca="1" si="40"/>
        <v>23.816325168687641</v>
      </c>
      <c r="H101" s="307">
        <f t="shared" ca="1" si="41"/>
        <v>122.22050667763332</v>
      </c>
      <c r="I101" s="304">
        <f t="shared" ca="1" si="42"/>
        <v>124.51935430718422</v>
      </c>
      <c r="J101" s="306">
        <f t="shared" ca="1" si="43"/>
        <v>11.005171107797208</v>
      </c>
      <c r="K101" s="307">
        <f t="shared" ca="1" si="44"/>
        <v>58.46926657684886</v>
      </c>
      <c r="L101" s="304">
        <f t="shared" ca="1" si="29"/>
        <v>59.495957216827009</v>
      </c>
      <c r="M101" s="306">
        <f t="shared" ca="1" si="45"/>
        <v>1.3783444778147513</v>
      </c>
      <c r="N101" s="304">
        <f t="shared" ca="1" si="46"/>
        <v>78.973321293948587</v>
      </c>
      <c r="P101" s="310">
        <f t="shared" ca="1" si="47"/>
        <v>9</v>
      </c>
      <c r="Q101" s="304">
        <f t="shared" ca="1" si="48"/>
        <v>1260.6259999999997</v>
      </c>
      <c r="R101" s="306">
        <f t="shared" ca="1" si="49"/>
        <v>0.61951163794952047</v>
      </c>
      <c r="S101" s="307">
        <f t="shared" ca="1" si="50"/>
        <v>8.9163448088017692</v>
      </c>
      <c r="T101" s="304">
        <f t="shared" ca="1" si="30"/>
        <v>87.469342574345362</v>
      </c>
      <c r="U101" s="311">
        <f t="shared" ca="1" si="31"/>
        <v>0</v>
      </c>
      <c r="V101" s="306">
        <f t="shared" ca="1" si="32"/>
        <v>1.2178583930703042</v>
      </c>
      <c r="W101" s="304">
        <f t="shared" ca="1" si="33"/>
        <v>58.516342687311059</v>
      </c>
      <c r="Y101" s="314" t="str">
        <f t="shared" ca="1" si="51"/>
        <v/>
      </c>
      <c r="Z101" s="315" t="str">
        <f t="shared" ca="1" si="52"/>
        <v/>
      </c>
      <c r="AA101" s="316" t="str">
        <f t="shared" ca="1" si="53"/>
        <v/>
      </c>
      <c r="AC101" s="310" t="e">
        <f t="shared" ca="1" si="54"/>
        <v>#N/A</v>
      </c>
      <c r="AD101" s="323" t="e">
        <f t="shared" ca="1" si="55"/>
        <v>#N/A</v>
      </c>
      <c r="AE101" s="324">
        <f t="shared" ca="1" si="34"/>
        <v>58.46926657684886</v>
      </c>
      <c r="AG101" s="306">
        <f t="shared" ca="1" si="56"/>
        <v>125.32238645583308</v>
      </c>
      <c r="AH101" s="304">
        <f t="shared" ca="1" si="57"/>
        <v>134.95155890175766</v>
      </c>
    </row>
    <row r="102" spans="1:34" x14ac:dyDescent="0.3">
      <c r="A102" s="347">
        <f t="shared" ca="1" si="35"/>
        <v>0.01</v>
      </c>
      <c r="B102" s="304">
        <f t="shared" ca="1" si="36"/>
        <v>0.98000000000000065</v>
      </c>
      <c r="D102" s="306">
        <f t="shared" ca="1" si="37"/>
        <v>25.738517473437025</v>
      </c>
      <c r="E102" s="307">
        <f t="shared" ca="1" si="38"/>
        <v>122.27480420272718</v>
      </c>
      <c r="F102" s="304">
        <f t="shared" ca="1" si="39"/>
        <v>124.95438777628296</v>
      </c>
      <c r="G102" s="306">
        <f t="shared" ca="1" si="40"/>
        <v>24.073710343422011</v>
      </c>
      <c r="H102" s="307">
        <f t="shared" ca="1" si="41"/>
        <v>123.4432547196606</v>
      </c>
      <c r="I102" s="304">
        <f t="shared" ca="1" si="42"/>
        <v>125.76875870215939</v>
      </c>
      <c r="J102" s="306">
        <f t="shared" ca="1" si="43"/>
        <v>11.244621285357757</v>
      </c>
      <c r="K102" s="307">
        <f t="shared" ca="1" si="44"/>
        <v>59.697585383835332</v>
      </c>
      <c r="L102" s="304">
        <f t="shared" ca="1" si="29"/>
        <v>60.747372029672448</v>
      </c>
      <c r="M102" s="306">
        <f t="shared" ca="1" si="45"/>
        <v>1.3781952897344667</v>
      </c>
      <c r="N102" s="304">
        <f t="shared" ca="1" si="46"/>
        <v>78.96477344659462</v>
      </c>
      <c r="P102" s="310">
        <f t="shared" ca="1" si="47"/>
        <v>9</v>
      </c>
      <c r="Q102" s="304">
        <f t="shared" ca="1" si="48"/>
        <v>1257.5499999999997</v>
      </c>
      <c r="R102" s="306">
        <f t="shared" ca="1" si="49"/>
        <v>0.61799999389463611</v>
      </c>
      <c r="S102" s="307">
        <f t="shared" ca="1" si="50"/>
        <v>8.910164808862822</v>
      </c>
      <c r="T102" s="304">
        <f t="shared" ca="1" si="30"/>
        <v>87.408716774944295</v>
      </c>
      <c r="U102" s="311">
        <f t="shared" ca="1" si="31"/>
        <v>0</v>
      </c>
      <c r="V102" s="306">
        <f t="shared" ca="1" si="32"/>
        <v>1.2177088091150008</v>
      </c>
      <c r="W102" s="304">
        <f t="shared" ca="1" si="33"/>
        <v>59.689186246072737</v>
      </c>
      <c r="Y102" s="314" t="str">
        <f t="shared" ca="1" si="51"/>
        <v/>
      </c>
      <c r="Z102" s="315" t="str">
        <f t="shared" ca="1" si="52"/>
        <v/>
      </c>
      <c r="AA102" s="316" t="str">
        <f t="shared" ca="1" si="53"/>
        <v/>
      </c>
      <c r="AC102" s="310" t="e">
        <f t="shared" ca="1" si="54"/>
        <v>#N/A</v>
      </c>
      <c r="AD102" s="323" t="e">
        <f t="shared" ca="1" si="55"/>
        <v>#N/A</v>
      </c>
      <c r="AE102" s="324">
        <f t="shared" ca="1" si="34"/>
        <v>59.697585383835332</v>
      </c>
      <c r="AG102" s="306">
        <f t="shared" ca="1" si="56"/>
        <v>124.94029953523017</v>
      </c>
      <c r="AH102" s="304">
        <f t="shared" ca="1" si="57"/>
        <v>134.5691895754864</v>
      </c>
    </row>
    <row r="103" spans="1:34" x14ac:dyDescent="0.3">
      <c r="A103" s="347">
        <f t="shared" ca="1" si="35"/>
        <v>0.01</v>
      </c>
      <c r="B103" s="304">
        <f t="shared" ca="1" si="36"/>
        <v>0.99000000000000066</v>
      </c>
      <c r="D103" s="306">
        <f t="shared" ca="1" si="37"/>
        <v>25.684718031700719</v>
      </c>
      <c r="E103" s="307">
        <f t="shared" ca="1" si="38"/>
        <v>121.89405164637361</v>
      </c>
      <c r="F103" s="304">
        <f t="shared" ca="1" si="39"/>
        <v>124.57072114721328</v>
      </c>
      <c r="G103" s="306">
        <f t="shared" ca="1" si="40"/>
        <v>24.330557523739017</v>
      </c>
      <c r="H103" s="307">
        <f t="shared" ca="1" si="41"/>
        <v>124.66219523612433</v>
      </c>
      <c r="I103" s="304">
        <f t="shared" ca="1" si="42"/>
        <v>127.01432576881064</v>
      </c>
      <c r="J103" s="306">
        <f t="shared" ca="1" si="43"/>
        <v>11.486642624693562</v>
      </c>
      <c r="K103" s="307">
        <f t="shared" ca="1" si="44"/>
        <v>60.938112633614253</v>
      </c>
      <c r="L103" s="304">
        <f t="shared" ca="1" si="29"/>
        <v>62.011261317074364</v>
      </c>
      <c r="M103" s="306">
        <f t="shared" ca="1" si="45"/>
        <v>1.3780474515713064</v>
      </c>
      <c r="N103" s="304">
        <f t="shared" ca="1" si="46"/>
        <v>78.956302943794554</v>
      </c>
      <c r="P103" s="310">
        <f t="shared" ca="1" si="47"/>
        <v>9</v>
      </c>
      <c r="Q103" s="304">
        <f t="shared" ca="1" si="48"/>
        <v>1254.4739999999997</v>
      </c>
      <c r="R103" s="306">
        <f t="shared" ca="1" si="49"/>
        <v>0.61648834983975165</v>
      </c>
      <c r="S103" s="307">
        <f t="shared" ca="1" si="50"/>
        <v>8.903999925364424</v>
      </c>
      <c r="T103" s="304">
        <f t="shared" ca="1" si="30"/>
        <v>87.348239267825008</v>
      </c>
      <c r="U103" s="311">
        <f t="shared" ca="1" si="31"/>
        <v>0</v>
      </c>
      <c r="V103" s="306">
        <f t="shared" ca="1" si="32"/>
        <v>1.2175577570144471</v>
      </c>
      <c r="W103" s="304">
        <f t="shared" ca="1" si="33"/>
        <v>60.869768130156174</v>
      </c>
      <c r="Y103" s="314" t="str">
        <f t="shared" ca="1" si="51"/>
        <v/>
      </c>
      <c r="Z103" s="315" t="str">
        <f t="shared" ca="1" si="52"/>
        <v/>
      </c>
      <c r="AA103" s="316" t="str">
        <f t="shared" ca="1" si="53"/>
        <v/>
      </c>
      <c r="AC103" s="310" t="e">
        <f t="shared" ca="1" si="54"/>
        <v>#N/A</v>
      </c>
      <c r="AD103" s="323" t="e">
        <f t="shared" ca="1" si="55"/>
        <v>#N/A</v>
      </c>
      <c r="AE103" s="324">
        <f t="shared" ca="1" si="34"/>
        <v>60.938112633614253</v>
      </c>
      <c r="AG103" s="306">
        <f t="shared" ca="1" si="56"/>
        <v>124.55656786309227</v>
      </c>
      <c r="AH103" s="304">
        <f t="shared" ca="1" si="57"/>
        <v>134.18517787162119</v>
      </c>
    </row>
    <row r="104" spans="1:34" x14ac:dyDescent="0.3">
      <c r="A104" s="347">
        <f t="shared" ca="1" si="35"/>
        <v>0.01</v>
      </c>
      <c r="B104" s="304">
        <f t="shared" ca="1" si="36"/>
        <v>1.0000000000000007</v>
      </c>
      <c r="D104" s="306">
        <f t="shared" ca="1" si="37"/>
        <v>25.630316210380588</v>
      </c>
      <c r="E104" s="307">
        <f t="shared" ca="1" si="38"/>
        <v>121.51175373559019</v>
      </c>
      <c r="F104" s="304">
        <f t="shared" ca="1" si="39"/>
        <v>124.18542348014446</v>
      </c>
      <c r="G104" s="306">
        <f t="shared" ca="1" si="40"/>
        <v>24.586860685842822</v>
      </c>
      <c r="H104" s="307">
        <f t="shared" ca="1" si="41"/>
        <v>125.87731277348024</v>
      </c>
      <c r="I104" s="304">
        <f t="shared" ca="1" si="42"/>
        <v>128.25603919292695</v>
      </c>
      <c r="J104" s="306">
        <f t="shared" ca="1" si="43"/>
        <v>11.731229715741472</v>
      </c>
      <c r="K104" s="307">
        <f t="shared" ca="1" si="44"/>
        <v>62.190810173662278</v>
      </c>
      <c r="L104" s="304">
        <f t="shared" ca="1" si="29"/>
        <v>63.287586624076539</v>
      </c>
      <c r="M104" s="306">
        <f t="shared" ca="1" si="45"/>
        <v>1.3779009337208512</v>
      </c>
      <c r="N104" s="304">
        <f t="shared" ca="1" si="46"/>
        <v>78.947908089340146</v>
      </c>
      <c r="P104" s="310">
        <f t="shared" ca="1" si="47"/>
        <v>9</v>
      </c>
      <c r="Q104" s="304">
        <f t="shared" ca="1" si="48"/>
        <v>1251.3979999999997</v>
      </c>
      <c r="R104" s="306">
        <f t="shared" ca="1" si="49"/>
        <v>0.61497670578486718</v>
      </c>
      <c r="S104" s="307">
        <f t="shared" ca="1" si="50"/>
        <v>8.897850158306575</v>
      </c>
      <c r="T104" s="304">
        <f t="shared" ca="1" si="30"/>
        <v>87.287910052987499</v>
      </c>
      <c r="U104" s="311">
        <f t="shared" ca="1" si="31"/>
        <v>0</v>
      </c>
      <c r="V104" s="306">
        <f t="shared" ca="1" si="32"/>
        <v>1.2174052419615009</v>
      </c>
      <c r="W104" s="304">
        <f t="shared" ca="1" si="33"/>
        <v>62.057957313415081</v>
      </c>
      <c r="Y104" s="314" t="str">
        <f t="shared" ca="1" si="51"/>
        <v/>
      </c>
      <c r="Z104" s="315" t="str">
        <f t="shared" ca="1" si="52"/>
        <v/>
      </c>
      <c r="AA104" s="316" t="str">
        <f t="shared" ca="1" si="53"/>
        <v/>
      </c>
      <c r="AC104" s="310">
        <f t="shared" ca="1" si="54"/>
        <v>1.0000000000000007</v>
      </c>
      <c r="AD104" s="323">
        <f t="shared" ca="1" si="55"/>
        <v>11.731229715741472</v>
      </c>
      <c r="AE104" s="324">
        <f t="shared" ca="1" si="34"/>
        <v>62.190810173662278</v>
      </c>
      <c r="AG104" s="306">
        <f t="shared" ca="1" si="56"/>
        <v>124.17120474493052</v>
      </c>
      <c r="AH104" s="304">
        <f t="shared" ca="1" si="57"/>
        <v>133.79953704417326</v>
      </c>
    </row>
    <row r="105" spans="1:34" x14ac:dyDescent="0.3">
      <c r="A105" s="347">
        <f t="shared" ca="1" si="35"/>
        <v>0.01</v>
      </c>
      <c r="B105" s="304">
        <f t="shared" ca="1" si="36"/>
        <v>1.0100000000000007</v>
      </c>
      <c r="D105" s="306">
        <f t="shared" ca="1" si="37"/>
        <v>25.574068009476068</v>
      </c>
      <c r="E105" s="307">
        <f t="shared" ca="1" si="38"/>
        <v>121.12151658734115</v>
      </c>
      <c r="F105" s="304">
        <f t="shared" ca="1" si="39"/>
        <v>123.79198170709952</v>
      </c>
      <c r="G105" s="306">
        <f t="shared" ca="1" si="40"/>
        <v>24.842601365937583</v>
      </c>
      <c r="H105" s="307">
        <f t="shared" ca="1" si="41"/>
        <v>127.08852793935365</v>
      </c>
      <c r="I105" s="304">
        <f t="shared" ca="1" si="42"/>
        <v>129.49381752199122</v>
      </c>
      <c r="J105" s="306">
        <f t="shared" ca="1" si="43"/>
        <v>11.978377026000373</v>
      </c>
      <c r="K105" s="307">
        <f t="shared" ca="1" si="44"/>
        <v>63.455639377226447</v>
      </c>
      <c r="L105" s="304">
        <f t="shared" ca="1" si="29"/>
        <v>64.576309006861223</v>
      </c>
      <c r="M105" s="306">
        <f t="shared" ca="1" si="45"/>
        <v>1.37775570743474</v>
      </c>
      <c r="N105" s="304">
        <f t="shared" ca="1" si="46"/>
        <v>78.939587236071617</v>
      </c>
      <c r="P105" s="310">
        <f t="shared" ca="1" si="47"/>
        <v>10</v>
      </c>
      <c r="Q105" s="304">
        <f t="shared" ca="1" si="48"/>
        <v>1248.2639999999997</v>
      </c>
      <c r="R105" s="306">
        <f t="shared" ca="1" si="49"/>
        <v>0.61343655868863578</v>
      </c>
      <c r="S105" s="307">
        <f t="shared" ca="1" si="50"/>
        <v>8.8917157927196886</v>
      </c>
      <c r="T105" s="304">
        <f t="shared" ca="1" si="30"/>
        <v>87.227731926580148</v>
      </c>
      <c r="U105" s="311">
        <f t="shared" ca="1" si="31"/>
        <v>0</v>
      </c>
      <c r="V105" s="306">
        <f t="shared" ca="1" si="32"/>
        <v>1.2172512692096231</v>
      </c>
      <c r="W105" s="304">
        <f t="shared" ca="1" si="33"/>
        <v>63.253558885406811</v>
      </c>
      <c r="Y105" s="314" t="str">
        <f t="shared" ca="1" si="51"/>
        <v/>
      </c>
      <c r="Z105" s="315" t="str">
        <f t="shared" ca="1" si="52"/>
        <v/>
      </c>
      <c r="AA105" s="316" t="str">
        <f t="shared" ca="1" si="53"/>
        <v/>
      </c>
      <c r="AC105" s="310" t="e">
        <f t="shared" ca="1" si="54"/>
        <v>#N/A</v>
      </c>
      <c r="AD105" s="323" t="e">
        <f t="shared" ca="1" si="55"/>
        <v>#N/A</v>
      </c>
      <c r="AE105" s="324">
        <f t="shared" ca="1" si="34"/>
        <v>63.455639377226447</v>
      </c>
      <c r="AG105" s="306">
        <f t="shared" ca="1" si="56"/>
        <v>123.77769635083008</v>
      </c>
      <c r="AH105" s="304">
        <f t="shared" ca="1" si="57"/>
        <v>133.40575321332472</v>
      </c>
    </row>
    <row r="106" spans="1:34" x14ac:dyDescent="0.3">
      <c r="A106" s="347">
        <f t="shared" ca="1" si="35"/>
        <v>0.01</v>
      </c>
      <c r="B106" s="304">
        <f t="shared" ca="1" si="36"/>
        <v>1.0200000000000007</v>
      </c>
      <c r="D106" s="306">
        <f t="shared" ca="1" si="37"/>
        <v>25.515975765872877</v>
      </c>
      <c r="E106" s="307">
        <f t="shared" ca="1" si="38"/>
        <v>120.72334275480861</v>
      </c>
      <c r="F106" s="304">
        <f t="shared" ca="1" si="39"/>
        <v>123.39039875606049</v>
      </c>
      <c r="G106" s="306">
        <f t="shared" ca="1" si="40"/>
        <v>25.09776112359631</v>
      </c>
      <c r="H106" s="307">
        <f t="shared" ca="1" si="41"/>
        <v>128.29576136690173</v>
      </c>
      <c r="I106" s="304">
        <f t="shared" ca="1" si="42"/>
        <v>130.72757933248093</v>
      </c>
      <c r="J106" s="306">
        <f t="shared" ca="1" si="43"/>
        <v>12.228078838448043</v>
      </c>
      <c r="K106" s="307">
        <f t="shared" ca="1" si="44"/>
        <v>64.732560823757723</v>
      </c>
      <c r="L106" s="304">
        <f t="shared" ca="1" si="29"/>
        <v>65.877388707209647</v>
      </c>
      <c r="M106" s="306">
        <f t="shared" ca="1" si="45"/>
        <v>1.3776117447869258</v>
      </c>
      <c r="N106" s="304">
        <f t="shared" ca="1" si="46"/>
        <v>78.931338783944341</v>
      </c>
      <c r="P106" s="310">
        <f t="shared" ca="1" si="47"/>
        <v>10</v>
      </c>
      <c r="Q106" s="304">
        <f t="shared" ca="1" si="48"/>
        <v>1245.0719999999997</v>
      </c>
      <c r="R106" s="306">
        <f t="shared" ca="1" si="49"/>
        <v>0.61186790855105744</v>
      </c>
      <c r="S106" s="307">
        <f t="shared" ca="1" si="50"/>
        <v>8.8855971136341783</v>
      </c>
      <c r="T106" s="304">
        <f t="shared" ca="1" si="30"/>
        <v>87.167707684751292</v>
      </c>
      <c r="U106" s="311">
        <f t="shared" ca="1" si="31"/>
        <v>0</v>
      </c>
      <c r="V106" s="306">
        <f t="shared" ca="1" si="32"/>
        <v>1.2170958441116797</v>
      </c>
      <c r="W106" s="304">
        <f t="shared" ca="1" si="33"/>
        <v>64.456375332474749</v>
      </c>
      <c r="Y106" s="314" t="str">
        <f t="shared" ca="1" si="51"/>
        <v/>
      </c>
      <c r="Z106" s="315" t="str">
        <f t="shared" ca="1" si="52"/>
        <v/>
      </c>
      <c r="AA106" s="316" t="str">
        <f t="shared" ca="1" si="53"/>
        <v/>
      </c>
      <c r="AC106" s="310" t="e">
        <f t="shared" ca="1" si="54"/>
        <v>#N/A</v>
      </c>
      <c r="AD106" s="323" t="e">
        <f t="shared" ca="1" si="55"/>
        <v>#N/A</v>
      </c>
      <c r="AE106" s="324">
        <f t="shared" ca="1" si="34"/>
        <v>64.732560823757723</v>
      </c>
      <c r="AG106" s="306">
        <f t="shared" ca="1" si="56"/>
        <v>123.37604558092495</v>
      </c>
      <c r="AH106" s="304">
        <f t="shared" ca="1" si="57"/>
        <v>133.00382923069907</v>
      </c>
    </row>
    <row r="107" spans="1:34" x14ac:dyDescent="0.3">
      <c r="A107" s="347">
        <f t="shared" ca="1" si="35"/>
        <v>0.01</v>
      </c>
      <c r="B107" s="304">
        <f t="shared" ca="1" si="36"/>
        <v>1.0300000000000007</v>
      </c>
      <c r="D107" s="306">
        <f t="shared" ca="1" si="37"/>
        <v>25.457296657753108</v>
      </c>
      <c r="E107" s="307">
        <f t="shared" ca="1" si="38"/>
        <v>120.32364980905987</v>
      </c>
      <c r="F107" s="304">
        <f t="shared" ca="1" si="39"/>
        <v>122.98721338616515</v>
      </c>
      <c r="G107" s="306">
        <f t="shared" ca="1" si="40"/>
        <v>25.352334090173841</v>
      </c>
      <c r="H107" s="307">
        <f t="shared" ca="1" si="41"/>
        <v>129.49899786499233</v>
      </c>
      <c r="I107" s="304">
        <f t="shared" ca="1" si="42"/>
        <v>131.95730859583745</v>
      </c>
      <c r="J107" s="306">
        <f t="shared" ca="1" si="43"/>
        <v>12.480329314516894</v>
      </c>
      <c r="K107" s="307">
        <f t="shared" ca="1" si="44"/>
        <v>66.02153461991719</v>
      </c>
      <c r="L107" s="304">
        <f t="shared" ca="1" si="29"/>
        <v>67.190785479615542</v>
      </c>
      <c r="M107" s="306">
        <f t="shared" ca="1" si="45"/>
        <v>1.3774690187122614</v>
      </c>
      <c r="N107" s="304">
        <f t="shared" ca="1" si="46"/>
        <v>78.923161182239596</v>
      </c>
      <c r="P107" s="310">
        <f t="shared" ca="1" si="47"/>
        <v>10</v>
      </c>
      <c r="Q107" s="304">
        <f t="shared" ca="1" si="48"/>
        <v>1241.8799999999997</v>
      </c>
      <c r="R107" s="306">
        <f t="shared" ca="1" si="49"/>
        <v>0.6102992584134791</v>
      </c>
      <c r="S107" s="307">
        <f t="shared" ca="1" si="50"/>
        <v>8.879494121050044</v>
      </c>
      <c r="T107" s="304">
        <f t="shared" ca="1" si="30"/>
        <v>87.107837327500931</v>
      </c>
      <c r="U107" s="311">
        <f t="shared" ca="1" si="31"/>
        <v>0</v>
      </c>
      <c r="V107" s="306">
        <f t="shared" ca="1" si="32"/>
        <v>1.2169389720807522</v>
      </c>
      <c r="W107" s="304">
        <f t="shared" ca="1" si="33"/>
        <v>65.6662716226692</v>
      </c>
      <c r="Y107" s="314" t="str">
        <f t="shared" ca="1" si="51"/>
        <v/>
      </c>
      <c r="Z107" s="315" t="str">
        <f t="shared" ca="1" si="52"/>
        <v/>
      </c>
      <c r="AA107" s="316" t="str">
        <f t="shared" ca="1" si="53"/>
        <v/>
      </c>
      <c r="AC107" s="310" t="e">
        <f t="shared" ca="1" si="54"/>
        <v>#N/A</v>
      </c>
      <c r="AD107" s="323" t="e">
        <f t="shared" ca="1" si="55"/>
        <v>#N/A</v>
      </c>
      <c r="AE107" s="324">
        <f t="shared" ca="1" si="34"/>
        <v>66.02153461991719</v>
      </c>
      <c r="AG107" s="306">
        <f t="shared" ca="1" si="56"/>
        <v>122.97279193230145</v>
      </c>
      <c r="AH107" s="304">
        <f t="shared" ca="1" si="57"/>
        <v>132.60030454621088</v>
      </c>
    </row>
    <row r="108" spans="1:34" x14ac:dyDescent="0.3">
      <c r="A108" s="347">
        <f t="shared" ca="1" si="35"/>
        <v>0.01</v>
      </c>
      <c r="B108" s="304">
        <f t="shared" ca="1" si="36"/>
        <v>1.0400000000000007</v>
      </c>
      <c r="D108" s="306">
        <f t="shared" ca="1" si="37"/>
        <v>25.398037737791096</v>
      </c>
      <c r="E108" s="307">
        <f t="shared" ca="1" si="38"/>
        <v>119.92245079063454</v>
      </c>
      <c r="F108" s="304">
        <f t="shared" ca="1" si="39"/>
        <v>122.58243970717186</v>
      </c>
      <c r="G108" s="306">
        <f t="shared" ca="1" si="40"/>
        <v>25.606314467551751</v>
      </c>
      <c r="H108" s="307">
        <f t="shared" ca="1" si="41"/>
        <v>130.69822237289867</v>
      </c>
      <c r="I108" s="304">
        <f t="shared" ca="1" si="42"/>
        <v>133.18298942450127</v>
      </c>
      <c r="J108" s="306">
        <f t="shared" ca="1" si="43"/>
        <v>12.735122557305521</v>
      </c>
      <c r="K108" s="307">
        <f t="shared" ca="1" si="44"/>
        <v>67.322520721106642</v>
      </c>
      <c r="L108" s="304">
        <f t="shared" ca="1" si="29"/>
        <v>68.516458918959202</v>
      </c>
      <c r="M108" s="306">
        <f t="shared" ca="1" si="45"/>
        <v>1.3773275029711105</v>
      </c>
      <c r="N108" s="304">
        <f t="shared" ca="1" si="46"/>
        <v>78.915052927536991</v>
      </c>
      <c r="P108" s="310">
        <f t="shared" ca="1" si="47"/>
        <v>10</v>
      </c>
      <c r="Q108" s="304">
        <f t="shared" ca="1" si="48"/>
        <v>1238.6879999999996</v>
      </c>
      <c r="R108" s="306">
        <f t="shared" ca="1" si="49"/>
        <v>0.60873060827590064</v>
      </c>
      <c r="S108" s="307">
        <f t="shared" ca="1" si="50"/>
        <v>8.8734068149672858</v>
      </c>
      <c r="T108" s="304">
        <f t="shared" ca="1" si="30"/>
        <v>87.048120854829079</v>
      </c>
      <c r="U108" s="311">
        <f t="shared" ca="1" si="31"/>
        <v>0</v>
      </c>
      <c r="V108" s="306">
        <f t="shared" ca="1" si="32"/>
        <v>1.2167806585509156</v>
      </c>
      <c r="W108" s="304">
        <f t="shared" ca="1" si="33"/>
        <v>66.883112673227245</v>
      </c>
      <c r="Y108" s="314" t="str">
        <f t="shared" ca="1" si="51"/>
        <v/>
      </c>
      <c r="Z108" s="315" t="str">
        <f t="shared" ca="1" si="52"/>
        <v/>
      </c>
      <c r="AA108" s="316" t="str">
        <f t="shared" ca="1" si="53"/>
        <v/>
      </c>
      <c r="AC108" s="310" t="e">
        <f t="shared" ca="1" si="54"/>
        <v>#N/A</v>
      </c>
      <c r="AD108" s="323" t="e">
        <f t="shared" ca="1" si="55"/>
        <v>#N/A</v>
      </c>
      <c r="AE108" s="324">
        <f t="shared" ca="1" si="34"/>
        <v>67.322520721106642</v>
      </c>
      <c r="AG108" s="306">
        <f t="shared" ca="1" si="56"/>
        <v>122.56794950556113</v>
      </c>
      <c r="AH108" s="304">
        <f t="shared" ca="1" si="57"/>
        <v>132.19519321471063</v>
      </c>
    </row>
    <row r="109" spans="1:34" x14ac:dyDescent="0.3">
      <c r="A109" s="347">
        <f t="shared" ca="1" si="35"/>
        <v>0.01</v>
      </c>
      <c r="B109" s="304">
        <f t="shared" ca="1" si="36"/>
        <v>1.0500000000000007</v>
      </c>
      <c r="D109" s="306">
        <f t="shared" ca="1" si="37"/>
        <v>25.338205939557696</v>
      </c>
      <c r="E109" s="307">
        <f t="shared" ca="1" si="38"/>
        <v>119.51975882238497</v>
      </c>
      <c r="F109" s="304">
        <f t="shared" ca="1" si="39"/>
        <v>122.17609188870181</v>
      </c>
      <c r="G109" s="306">
        <f t="shared" ca="1" si="40"/>
        <v>25.859696526947328</v>
      </c>
      <c r="H109" s="307">
        <f t="shared" ca="1" si="41"/>
        <v>131.89341996112253</v>
      </c>
      <c r="I109" s="304">
        <f t="shared" ca="1" si="42"/>
        <v>134.40460607251097</v>
      </c>
      <c r="J109" s="306">
        <f t="shared" ca="1" si="43"/>
        <v>12.992452612278017</v>
      </c>
      <c r="K109" s="307">
        <f t="shared" ca="1" si="44"/>
        <v>68.635478932776749</v>
      </c>
      <c r="L109" s="304">
        <f t="shared" ca="1" si="29"/>
        <v>69.854368461921766</v>
      </c>
      <c r="M109" s="306">
        <f t="shared" ca="1" si="45"/>
        <v>1.3771871721157642</v>
      </c>
      <c r="N109" s="304">
        <f t="shared" ca="1" si="46"/>
        <v>78.907012561790182</v>
      </c>
      <c r="P109" s="310">
        <f t="shared" ca="1" si="47"/>
        <v>10</v>
      </c>
      <c r="Q109" s="304">
        <f t="shared" ca="1" si="48"/>
        <v>1235.4959999999996</v>
      </c>
      <c r="R109" s="306">
        <f t="shared" ca="1" si="49"/>
        <v>0.6071619581383223</v>
      </c>
      <c r="S109" s="307">
        <f t="shared" ca="1" si="50"/>
        <v>8.8673351953859019</v>
      </c>
      <c r="T109" s="304">
        <f t="shared" ca="1" si="30"/>
        <v>86.988558266735708</v>
      </c>
      <c r="U109" s="311">
        <f t="shared" ca="1" si="31"/>
        <v>0</v>
      </c>
      <c r="V109" s="306">
        <f t="shared" ca="1" si="32"/>
        <v>1.2166209089770041</v>
      </c>
      <c r="W109" s="304">
        <f t="shared" ca="1" si="33"/>
        <v>68.106763364556201</v>
      </c>
      <c r="Y109" s="314" t="str">
        <f t="shared" ca="1" si="51"/>
        <v/>
      </c>
      <c r="Z109" s="315" t="str">
        <f t="shared" ca="1" si="52"/>
        <v/>
      </c>
      <c r="AA109" s="316" t="str">
        <f t="shared" ca="1" si="53"/>
        <v/>
      </c>
      <c r="AC109" s="310" t="e">
        <f t="shared" ca="1" si="54"/>
        <v>#N/A</v>
      </c>
      <c r="AD109" s="323" t="e">
        <f t="shared" ca="1" si="55"/>
        <v>#N/A</v>
      </c>
      <c r="AE109" s="324">
        <f t="shared" ca="1" si="34"/>
        <v>68.635478932776749</v>
      </c>
      <c r="AG109" s="306">
        <f t="shared" ca="1" si="56"/>
        <v>122.16153246115738</v>
      </c>
      <c r="AH109" s="304">
        <f t="shared" ca="1" si="57"/>
        <v>131.78850935226373</v>
      </c>
    </row>
    <row r="110" spans="1:34" x14ac:dyDescent="0.3">
      <c r="A110" s="347">
        <f t="shared" ca="1" si="35"/>
        <v>0.01</v>
      </c>
      <c r="B110" s="304">
        <f t="shared" ca="1" si="36"/>
        <v>1.0600000000000007</v>
      </c>
      <c r="D110" s="306">
        <f t="shared" ca="1" si="37"/>
        <v>25.277808082673683</v>
      </c>
      <c r="E110" s="307">
        <f t="shared" ca="1" si="38"/>
        <v>119.11558710696917</v>
      </c>
      <c r="F110" s="304">
        <f t="shared" ca="1" si="39"/>
        <v>121.76818415868097</v>
      </c>
      <c r="G110" s="306">
        <f t="shared" ca="1" si="40"/>
        <v>26.112474607774065</v>
      </c>
      <c r="H110" s="307">
        <f t="shared" ca="1" si="41"/>
        <v>133.08457583219223</v>
      </c>
      <c r="I110" s="304">
        <f t="shared" ca="1" si="42"/>
        <v>135.62214293608611</v>
      </c>
      <c r="J110" s="306">
        <f t="shared" ca="1" si="43"/>
        <v>13.252313467951623</v>
      </c>
      <c r="K110" s="307">
        <f t="shared" ca="1" si="44"/>
        <v>69.960368911743316</v>
      </c>
      <c r="L110" s="304">
        <f t="shared" ca="1" si="29"/>
        <v>71.204473388404978</v>
      </c>
      <c r="M110" s="306">
        <f t="shared" ca="1" si="45"/>
        <v>1.3770480014585524</v>
      </c>
      <c r="N110" s="304">
        <f t="shared" ca="1" si="46"/>
        <v>78.899038670499891</v>
      </c>
      <c r="P110" s="310">
        <f t="shared" ca="1" si="47"/>
        <v>10</v>
      </c>
      <c r="Q110" s="304">
        <f t="shared" ca="1" si="48"/>
        <v>1232.3039999999996</v>
      </c>
      <c r="R110" s="306">
        <f t="shared" ca="1" si="49"/>
        <v>0.60559330800074396</v>
      </c>
      <c r="S110" s="307">
        <f t="shared" ca="1" si="50"/>
        <v>8.861279262305894</v>
      </c>
      <c r="T110" s="304">
        <f t="shared" ca="1" si="30"/>
        <v>86.929149563220818</v>
      </c>
      <c r="U110" s="311">
        <f t="shared" ca="1" si="31"/>
        <v>0</v>
      </c>
      <c r="V110" s="306">
        <f t="shared" ca="1" si="32"/>
        <v>1.2164597288343793</v>
      </c>
      <c r="W110" s="304">
        <f t="shared" ca="1" si="33"/>
        <v>69.337088554169085</v>
      </c>
      <c r="Y110" s="314" t="str">
        <f t="shared" ca="1" si="51"/>
        <v/>
      </c>
      <c r="Z110" s="315" t="str">
        <f t="shared" ca="1" si="52"/>
        <v/>
      </c>
      <c r="AA110" s="316" t="str">
        <f t="shared" ca="1" si="53"/>
        <v/>
      </c>
      <c r="AC110" s="310" t="e">
        <f t="shared" ca="1" si="54"/>
        <v>#N/A</v>
      </c>
      <c r="AD110" s="323" t="e">
        <f t="shared" ca="1" si="55"/>
        <v>#N/A</v>
      </c>
      <c r="AE110" s="324">
        <f t="shared" ca="1" si="34"/>
        <v>69.960368911743316</v>
      </c>
      <c r="AG110" s="306">
        <f t="shared" ca="1" si="56"/>
        <v>121.75355501783211</v>
      </c>
      <c r="AH110" s="304">
        <f t="shared" ca="1" si="57"/>
        <v>131.38026713453272</v>
      </c>
    </row>
    <row r="111" spans="1:34" x14ac:dyDescent="0.3">
      <c r="A111" s="347">
        <f t="shared" ca="1" si="35"/>
        <v>0.01</v>
      </c>
      <c r="B111" s="304">
        <f t="shared" ca="1" si="36"/>
        <v>1.0700000000000007</v>
      </c>
      <c r="D111" s="306">
        <f t="shared" ca="1" si="37"/>
        <v>25.216850877685964</v>
      </c>
      <c r="E111" s="307">
        <f t="shared" ca="1" si="38"/>
        <v>118.70994892438719</v>
      </c>
      <c r="F111" s="304">
        <f t="shared" ca="1" si="39"/>
        <v>121.35873080177655</v>
      </c>
      <c r="G111" s="306">
        <f t="shared" ca="1" si="40"/>
        <v>26.364643116550923</v>
      </c>
      <c r="H111" s="307">
        <f t="shared" ca="1" si="41"/>
        <v>134.27167532143611</v>
      </c>
      <c r="I111" s="304">
        <f t="shared" ca="1" si="42"/>
        <v>136.83558455419501</v>
      </c>
      <c r="J111" s="306">
        <f t="shared" ca="1" si="43"/>
        <v>13.514699056573248</v>
      </c>
      <c r="K111" s="307">
        <f t="shared" ca="1" si="44"/>
        <v>71.297150167511461</v>
      </c>
      <c r="L111" s="304">
        <f t="shared" ca="1" si="29"/>
        <v>72.566732822956979</v>
      </c>
      <c r="M111" s="306">
        <f t="shared" ca="1" si="45"/>
        <v>1.3769099670415463</v>
      </c>
      <c r="N111" s="304">
        <f t="shared" ca="1" si="46"/>
        <v>78.891129880977886</v>
      </c>
      <c r="P111" s="310">
        <f t="shared" ca="1" si="47"/>
        <v>10</v>
      </c>
      <c r="Q111" s="304">
        <f t="shared" ca="1" si="48"/>
        <v>1229.1119999999999</v>
      </c>
      <c r="R111" s="306">
        <f t="shared" ca="1" si="49"/>
        <v>0.60402465786316573</v>
      </c>
      <c r="S111" s="307">
        <f t="shared" ca="1" si="50"/>
        <v>8.8552390157272622</v>
      </c>
      <c r="T111" s="304">
        <f t="shared" ca="1" si="30"/>
        <v>86.869894744284451</v>
      </c>
      <c r="U111" s="311">
        <f t="shared" ca="1" si="31"/>
        <v>0</v>
      </c>
      <c r="V111" s="306">
        <f t="shared" ca="1" si="32"/>
        <v>1.2162971236186921</v>
      </c>
      <c r="W111" s="304">
        <f t="shared" ca="1" si="33"/>
        <v>70.57395309057037</v>
      </c>
      <c r="Y111" s="314" t="str">
        <f t="shared" ca="1" si="51"/>
        <v/>
      </c>
      <c r="Z111" s="315" t="str">
        <f t="shared" ca="1" si="52"/>
        <v/>
      </c>
      <c r="AA111" s="316" t="str">
        <f t="shared" ca="1" si="53"/>
        <v/>
      </c>
      <c r="AC111" s="310" t="e">
        <f t="shared" ca="1" si="54"/>
        <v>#N/A</v>
      </c>
      <c r="AD111" s="323" t="e">
        <f t="shared" ca="1" si="55"/>
        <v>#N/A</v>
      </c>
      <c r="AE111" s="324">
        <f t="shared" ca="1" si="34"/>
        <v>71.297150167511461</v>
      </c>
      <c r="AG111" s="306">
        <f t="shared" ca="1" si="56"/>
        <v>121.34403145104736</v>
      </c>
      <c r="AH111" s="304">
        <f t="shared" ca="1" si="57"/>
        <v>130.97048079515682</v>
      </c>
    </row>
    <row r="112" spans="1:34" x14ac:dyDescent="0.3">
      <c r="A112" s="347">
        <f t="shared" ca="1" si="35"/>
        <v>0.01</v>
      </c>
      <c r="B112" s="304">
        <f t="shared" ca="1" si="36"/>
        <v>1.0800000000000007</v>
      </c>
      <c r="D112" s="306">
        <f t="shared" ca="1" si="37"/>
        <v>25.155340930683735</v>
      </c>
      <c r="E112" s="307">
        <f t="shared" ca="1" si="38"/>
        <v>118.30285762955816</v>
      </c>
      <c r="F112" s="304">
        <f t="shared" ca="1" si="39"/>
        <v>120.94774615782818</v>
      </c>
      <c r="G112" s="306">
        <f t="shared" ca="1" si="40"/>
        <v>26.61619652585776</v>
      </c>
      <c r="H112" s="307">
        <f t="shared" ca="1" si="41"/>
        <v>135.45470389773169</v>
      </c>
      <c r="I112" s="304">
        <f t="shared" ca="1" si="42"/>
        <v>138.0449156091062</v>
      </c>
      <c r="J112" s="306">
        <f t="shared" ca="1" si="43"/>
        <v>13.779603254785291</v>
      </c>
      <c r="K112" s="307">
        <f t="shared" ca="1" si="44"/>
        <v>72.6457820636073</v>
      </c>
      <c r="L112" s="304">
        <f t="shared" ca="1" si="29"/>
        <v>73.94110573620344</v>
      </c>
      <c r="M112" s="306">
        <f t="shared" ca="1" si="45"/>
        <v>1.3767730456077611</v>
      </c>
      <c r="N112" s="304">
        <f t="shared" ca="1" si="46"/>
        <v>78.883284860697117</v>
      </c>
      <c r="P112" s="310">
        <f t="shared" ca="1" si="47"/>
        <v>10</v>
      </c>
      <c r="Q112" s="304">
        <f t="shared" ca="1" si="48"/>
        <v>1225.9199999999998</v>
      </c>
      <c r="R112" s="306">
        <f t="shared" ca="1" si="49"/>
        <v>0.60245600772558727</v>
      </c>
      <c r="S112" s="307">
        <f t="shared" ca="1" si="50"/>
        <v>8.8492144556500065</v>
      </c>
      <c r="T112" s="304">
        <f t="shared" ca="1" si="30"/>
        <v>86.810793809926565</v>
      </c>
      <c r="U112" s="311">
        <f t="shared" ca="1" si="31"/>
        <v>0</v>
      </c>
      <c r="V112" s="306">
        <f t="shared" ca="1" si="32"/>
        <v>1.2161330988456502</v>
      </c>
      <c r="W112" s="304">
        <f t="shared" ca="1" si="33"/>
        <v>71.817221827088616</v>
      </c>
      <c r="Y112" s="314" t="str">
        <f t="shared" ca="1" si="51"/>
        <v/>
      </c>
      <c r="Z112" s="315" t="str">
        <f t="shared" ca="1" si="52"/>
        <v/>
      </c>
      <c r="AA112" s="316" t="str">
        <f t="shared" ca="1" si="53"/>
        <v/>
      </c>
      <c r="AC112" s="310" t="e">
        <f t="shared" ca="1" si="54"/>
        <v>#N/A</v>
      </c>
      <c r="AD112" s="323" t="e">
        <f t="shared" ca="1" si="55"/>
        <v>#N/A</v>
      </c>
      <c r="AE112" s="324">
        <f t="shared" ca="1" si="34"/>
        <v>72.6457820636073</v>
      </c>
      <c r="AG112" s="306">
        <f t="shared" ca="1" si="56"/>
        <v>120.93297609141131</v>
      </c>
      <c r="AH112" s="304">
        <f t="shared" ca="1" si="57"/>
        <v>130.55916462412881</v>
      </c>
    </row>
    <row r="113" spans="1:34" x14ac:dyDescent="0.3">
      <c r="A113" s="347">
        <f t="shared" ca="1" si="35"/>
        <v>0.01</v>
      </c>
      <c r="B113" s="304">
        <f t="shared" ca="1" si="36"/>
        <v>1.0900000000000007</v>
      </c>
      <c r="D113" s="306">
        <f t="shared" ca="1" si="37"/>
        <v>25.093284747669426</v>
      </c>
      <c r="E113" s="307">
        <f t="shared" ca="1" si="38"/>
        <v>117.89432664993592</v>
      </c>
      <c r="F113" s="304">
        <f t="shared" ca="1" si="39"/>
        <v>120.53524462027448</v>
      </c>
      <c r="G113" s="306">
        <f t="shared" ca="1" si="40"/>
        <v>26.867129373334453</v>
      </c>
      <c r="H113" s="307">
        <f t="shared" ca="1" si="41"/>
        <v>136.63364716423104</v>
      </c>
      <c r="I113" s="304">
        <f t="shared" ca="1" si="42"/>
        <v>139.25012092692441</v>
      </c>
      <c r="J113" s="306">
        <f t="shared" ca="1" si="43"/>
        <v>14.047019884281253</v>
      </c>
      <c r="K113" s="307">
        <f t="shared" ca="1" si="44"/>
        <v>74.006223818917107</v>
      </c>
      <c r="L113" s="304">
        <f t="shared" ca="1" si="29"/>
        <v>75.327550946284234</v>
      </c>
      <c r="M113" s="306">
        <f t="shared" ca="1" si="45"/>
        <v>1.3766372145737678</v>
      </c>
      <c r="N113" s="304">
        <f t="shared" ca="1" si="46"/>
        <v>78.8755023157224</v>
      </c>
      <c r="P113" s="310">
        <f t="shared" ca="1" si="47"/>
        <v>10</v>
      </c>
      <c r="Q113" s="304">
        <f t="shared" ca="1" si="48"/>
        <v>1222.7279999999998</v>
      </c>
      <c r="R113" s="306">
        <f t="shared" ca="1" si="49"/>
        <v>0.60088735758800893</v>
      </c>
      <c r="S113" s="307">
        <f t="shared" ca="1" si="50"/>
        <v>8.8432055820741269</v>
      </c>
      <c r="T113" s="304">
        <f t="shared" ca="1" si="30"/>
        <v>86.751846760147188</v>
      </c>
      <c r="U113" s="311">
        <f t="shared" ca="1" si="31"/>
        <v>0</v>
      </c>
      <c r="V113" s="306">
        <f t="shared" ca="1" si="32"/>
        <v>1.2159676600507774</v>
      </c>
      <c r="W113" s="304">
        <f t="shared" ca="1" si="33"/>
        <v>73.066759635654421</v>
      </c>
      <c r="Y113" s="314" t="str">
        <f t="shared" ca="1" si="51"/>
        <v/>
      </c>
      <c r="Z113" s="315" t="str">
        <f t="shared" ca="1" si="52"/>
        <v/>
      </c>
      <c r="AA113" s="316" t="str">
        <f t="shared" ca="1" si="53"/>
        <v/>
      </c>
      <c r="AC113" s="310" t="e">
        <f t="shared" ca="1" si="54"/>
        <v>#N/A</v>
      </c>
      <c r="AD113" s="323" t="e">
        <f t="shared" ca="1" si="55"/>
        <v>#N/A</v>
      </c>
      <c r="AE113" s="324">
        <f t="shared" ca="1" si="34"/>
        <v>74.006223818917107</v>
      </c>
      <c r="AG113" s="306">
        <f t="shared" ca="1" si="56"/>
        <v>120.52040332310018</v>
      </c>
      <c r="AH113" s="304">
        <f t="shared" ca="1" si="57"/>
        <v>130.14633296616987</v>
      </c>
    </row>
    <row r="114" spans="1:34" x14ac:dyDescent="0.3">
      <c r="A114" s="347">
        <f t="shared" ca="1" si="35"/>
        <v>0.01</v>
      </c>
      <c r="B114" s="304">
        <f t="shared" ca="1" si="36"/>
        <v>1.1000000000000008</v>
      </c>
      <c r="D114" s="306">
        <f t="shared" ca="1" si="37"/>
        <v>25.030688738699261</v>
      </c>
      <c r="E114" s="307">
        <f t="shared" ca="1" si="38"/>
        <v>117.48436948316107</v>
      </c>
      <c r="F114" s="304">
        <f t="shared" ca="1" si="39"/>
        <v>120.12124063457534</v>
      </c>
      <c r="G114" s="306">
        <f t="shared" ca="1" si="40"/>
        <v>27.117436260721448</v>
      </c>
      <c r="H114" s="307">
        <f t="shared" ca="1" si="41"/>
        <v>137.80849085906266</v>
      </c>
      <c r="I114" s="304">
        <f t="shared" ca="1" si="42"/>
        <v>140.45118547811069</v>
      </c>
      <c r="J114" s="306">
        <f t="shared" ca="1" si="43"/>
        <v>14.316942712451533</v>
      </c>
      <c r="K114" s="307">
        <f t="shared" ca="1" si="44"/>
        <v>75.378434509033582</v>
      </c>
      <c r="L114" s="304">
        <f t="shared" ca="1" si="29"/>
        <v>76.726027120295257</v>
      </c>
      <c r="M114" s="306">
        <f t="shared" ca="1" si="45"/>
        <v>1.3765024520036324</v>
      </c>
      <c r="N114" s="304">
        <f t="shared" ca="1" si="46"/>
        <v>78.867780989217309</v>
      </c>
      <c r="P114" s="310">
        <f t="shared" ca="1" si="47"/>
        <v>10</v>
      </c>
      <c r="Q114" s="304">
        <f t="shared" ca="1" si="48"/>
        <v>1219.5359999999998</v>
      </c>
      <c r="R114" s="306">
        <f t="shared" ca="1" si="49"/>
        <v>0.59931870745043059</v>
      </c>
      <c r="S114" s="307">
        <f t="shared" ca="1" si="50"/>
        <v>8.8372123949996233</v>
      </c>
      <c r="T114" s="304">
        <f t="shared" ca="1" si="30"/>
        <v>86.693053594946306</v>
      </c>
      <c r="U114" s="311">
        <f t="shared" ca="1" si="31"/>
        <v>0</v>
      </c>
      <c r="V114" s="306">
        <f t="shared" ca="1" si="32"/>
        <v>1.2158008127891786</v>
      </c>
      <c r="W114" s="304">
        <f t="shared" ca="1" si="33"/>
        <v>74.322431420521085</v>
      </c>
      <c r="Y114" s="314" t="str">
        <f t="shared" ca="1" si="51"/>
        <v/>
      </c>
      <c r="Z114" s="315" t="str">
        <f t="shared" ca="1" si="52"/>
        <v/>
      </c>
      <c r="AA114" s="316" t="str">
        <f t="shared" ca="1" si="53"/>
        <v/>
      </c>
      <c r="AC114" s="310" t="e">
        <f t="shared" ca="1" si="54"/>
        <v>#N/A</v>
      </c>
      <c r="AD114" s="323" t="e">
        <f t="shared" ca="1" si="55"/>
        <v>#N/A</v>
      </c>
      <c r="AE114" s="324">
        <f t="shared" ca="1" si="34"/>
        <v>75.378434509033582</v>
      </c>
      <c r="AG114" s="306">
        <f t="shared" ca="1" si="56"/>
        <v>120.10632758227565</v>
      </c>
      <c r="AH114" s="304">
        <f t="shared" ca="1" si="57"/>
        <v>129.73200021910236</v>
      </c>
    </row>
    <row r="115" spans="1:34" x14ac:dyDescent="0.3">
      <c r="A115" s="347">
        <f t="shared" ca="1" si="35"/>
        <v>0.01</v>
      </c>
      <c r="B115" s="304">
        <f t="shared" ca="1" si="36"/>
        <v>1.1100000000000008</v>
      </c>
      <c r="D115" s="306">
        <f t="shared" ca="1" si="37"/>
        <v>24.982074279849638</v>
      </c>
      <c r="E115" s="307">
        <f t="shared" ca="1" si="38"/>
        <v>117.14676397778646</v>
      </c>
      <c r="F115" s="304">
        <f t="shared" ca="1" si="39"/>
        <v>119.78091812050504</v>
      </c>
      <c r="G115" s="306">
        <f t="shared" ca="1" si="40"/>
        <v>27.367257003519946</v>
      </c>
      <c r="H115" s="307">
        <f t="shared" ca="1" si="41"/>
        <v>138.97995849884052</v>
      </c>
      <c r="I115" s="304">
        <f t="shared" ca="1" si="42"/>
        <v>141.64884616627185</v>
      </c>
      <c r="J115" s="306">
        <f t="shared" ca="1" si="43"/>
        <v>14.589366178772741</v>
      </c>
      <c r="K115" s="307">
        <f t="shared" ca="1" si="44"/>
        <v>76.762376755823098</v>
      </c>
      <c r="L115" s="304">
        <f t="shared" ca="1" si="29"/>
        <v>78.136496534598024</v>
      </c>
      <c r="M115" s="306">
        <f t="shared" ca="1" si="45"/>
        <v>1.3763687372937901</v>
      </c>
      <c r="N115" s="304">
        <f t="shared" ca="1" si="46"/>
        <v>78.860119700684521</v>
      </c>
      <c r="P115" s="310">
        <f t="shared" ca="1" si="47"/>
        <v>11</v>
      </c>
      <c r="Q115" s="304">
        <f t="shared" ca="1" si="48"/>
        <v>1217.0074999999999</v>
      </c>
      <c r="R115" s="306">
        <f t="shared" ca="1" si="49"/>
        <v>0.59807612227722673</v>
      </c>
      <c r="S115" s="307">
        <f t="shared" ca="1" si="50"/>
        <v>8.8312316337768504</v>
      </c>
      <c r="T115" s="304">
        <f t="shared" ca="1" si="30"/>
        <v>86.634382327350906</v>
      </c>
      <c r="U115" s="311">
        <f t="shared" ca="1" si="31"/>
        <v>0</v>
      </c>
      <c r="V115" s="306">
        <f t="shared" ca="1" si="32"/>
        <v>1.2156325621869442</v>
      </c>
      <c r="W115" s="304">
        <f t="shared" ca="1" si="33"/>
        <v>75.584904421842253</v>
      </c>
      <c r="Y115" s="314" t="str">
        <f t="shared" ca="1" si="51"/>
        <v/>
      </c>
      <c r="Z115" s="315" t="str">
        <f t="shared" ca="1" si="52"/>
        <v/>
      </c>
      <c r="AA115" s="316" t="str">
        <f t="shared" ca="1" si="53"/>
        <v/>
      </c>
      <c r="AC115" s="310" t="e">
        <f t="shared" ca="1" si="54"/>
        <v>#N/A</v>
      </c>
      <c r="AD115" s="323" t="e">
        <f t="shared" ca="1" si="55"/>
        <v>#N/A</v>
      </c>
      <c r="AE115" s="324">
        <f t="shared" ca="1" si="34"/>
        <v>76.762376755823098</v>
      </c>
      <c r="AG115" s="306">
        <f t="shared" ca="1" si="56"/>
        <v>119.76594218471431</v>
      </c>
      <c r="AH115" s="304">
        <f t="shared" ca="1" si="57"/>
        <v>129.39135966143684</v>
      </c>
    </row>
    <row r="116" spans="1:34" x14ac:dyDescent="0.3">
      <c r="A116" s="347">
        <f t="shared" ca="1" si="35"/>
        <v>0.01</v>
      </c>
      <c r="B116" s="304">
        <f t="shared" ca="1" si="36"/>
        <v>1.1200000000000008</v>
      </c>
      <c r="D116" s="306">
        <f t="shared" ca="1" si="37"/>
        <v>24.947498133483947</v>
      </c>
      <c r="E116" s="307">
        <f t="shared" ca="1" si="38"/>
        <v>116.88162476880872</v>
      </c>
      <c r="F116" s="304">
        <f t="shared" ca="1" si="39"/>
        <v>119.51440026924281</v>
      </c>
      <c r="G116" s="306">
        <f t="shared" ca="1" si="40"/>
        <v>27.616731984854784</v>
      </c>
      <c r="H116" s="307">
        <f t="shared" ca="1" si="41"/>
        <v>140.1487747465286</v>
      </c>
      <c r="I116" s="304">
        <f t="shared" ca="1" si="42"/>
        <v>142.84384112896331</v>
      </c>
      <c r="J116" s="306">
        <f t="shared" ca="1" si="43"/>
        <v>14.864286123714614</v>
      </c>
      <c r="K116" s="307">
        <f t="shared" ca="1" si="44"/>
        <v>78.158020422049944</v>
      </c>
      <c r="L116" s="304">
        <f t="shared" ca="1" si="29"/>
        <v>79.55892884058477</v>
      </c>
      <c r="M116" s="306">
        <f t="shared" ca="1" si="45"/>
        <v>1.3762360511055463</v>
      </c>
      <c r="N116" s="304">
        <f t="shared" ca="1" si="46"/>
        <v>78.85251734209848</v>
      </c>
      <c r="P116" s="310">
        <f t="shared" ca="1" si="47"/>
        <v>11</v>
      </c>
      <c r="Q116" s="304">
        <f t="shared" ca="1" si="48"/>
        <v>1215.1424999999999</v>
      </c>
      <c r="R116" s="306">
        <f t="shared" ca="1" si="49"/>
        <v>0.59715960206839724</v>
      </c>
      <c r="S116" s="307">
        <f t="shared" ca="1" si="50"/>
        <v>8.8252600377561663</v>
      </c>
      <c r="T116" s="304">
        <f t="shared" ca="1" si="30"/>
        <v>86.575800970388002</v>
      </c>
      <c r="U116" s="311">
        <f t="shared" ca="1" si="31"/>
        <v>0</v>
      </c>
      <c r="V116" s="306">
        <f t="shared" ca="1" si="32"/>
        <v>1.2154629124923089</v>
      </c>
      <c r="W116" s="304">
        <f t="shared" ca="1" si="33"/>
        <v>76.854873649448635</v>
      </c>
      <c r="Y116" s="314" t="str">
        <f t="shared" ca="1" si="51"/>
        <v/>
      </c>
      <c r="Z116" s="315" t="str">
        <f t="shared" ca="1" si="52"/>
        <v/>
      </c>
      <c r="AA116" s="316" t="str">
        <f t="shared" ca="1" si="53"/>
        <v/>
      </c>
      <c r="AC116" s="310" t="e">
        <f t="shared" ca="1" si="54"/>
        <v>#N/A</v>
      </c>
      <c r="AD116" s="323" t="e">
        <f t="shared" ca="1" si="55"/>
        <v>#N/A</v>
      </c>
      <c r="AE116" s="324">
        <f t="shared" ca="1" si="34"/>
        <v>78.158020422049944</v>
      </c>
      <c r="AG116" s="306">
        <f t="shared" ca="1" si="56"/>
        <v>119.49937052639734</v>
      </c>
      <c r="AH116" s="304">
        <f t="shared" ca="1" si="57"/>
        <v>129.12453465426628</v>
      </c>
    </row>
    <row r="117" spans="1:34" x14ac:dyDescent="0.3">
      <c r="A117" s="347">
        <f t="shared" ca="1" si="35"/>
        <v>0.01</v>
      </c>
      <c r="B117" s="304">
        <f t="shared" ca="1" si="36"/>
        <v>1.1300000000000008</v>
      </c>
      <c r="D117" s="306">
        <f t="shared" ca="1" si="37"/>
        <v>24.912461416257639</v>
      </c>
      <c r="E117" s="307">
        <f t="shared" ca="1" si="38"/>
        <v>116.6152028561314</v>
      </c>
      <c r="F117" s="304">
        <f t="shared" ca="1" si="39"/>
        <v>119.24653567711393</v>
      </c>
      <c r="G117" s="306">
        <f t="shared" ca="1" si="40"/>
        <v>27.865856599017359</v>
      </c>
      <c r="H117" s="307">
        <f t="shared" ca="1" si="41"/>
        <v>141.31492677508993</v>
      </c>
      <c r="I117" s="304">
        <f t="shared" ca="1" si="42"/>
        <v>144.03615689626693</v>
      </c>
      <c r="J117" s="306">
        <f t="shared" ca="1" si="43"/>
        <v>15.141699066633974</v>
      </c>
      <c r="K117" s="307">
        <f t="shared" ca="1" si="44"/>
        <v>79.56533892965804</v>
      </c>
      <c r="L117" s="304">
        <f t="shared" ca="1" si="29"/>
        <v>80.993297312900296</v>
      </c>
      <c r="M117" s="306">
        <f t="shared" ca="1" si="45"/>
        <v>1.3761043746133521</v>
      </c>
      <c r="N117" s="304">
        <f t="shared" ca="1" si="46"/>
        <v>78.844972834834664</v>
      </c>
      <c r="P117" s="310">
        <f t="shared" ca="1" si="47"/>
        <v>11</v>
      </c>
      <c r="Q117" s="304">
        <f t="shared" ca="1" si="48"/>
        <v>1213.2774999999999</v>
      </c>
      <c r="R117" s="306">
        <f t="shared" ca="1" si="49"/>
        <v>0.59624308185956776</v>
      </c>
      <c r="S117" s="307">
        <f t="shared" ca="1" si="50"/>
        <v>8.819297606937571</v>
      </c>
      <c r="T117" s="304">
        <f t="shared" ca="1" si="30"/>
        <v>86.51730952405758</v>
      </c>
      <c r="U117" s="311">
        <f t="shared" ca="1" si="31"/>
        <v>0</v>
      </c>
      <c r="V117" s="306">
        <f t="shared" ca="1" si="32"/>
        <v>1.2152918675236599</v>
      </c>
      <c r="W117" s="304">
        <f t="shared" ca="1" si="33"/>
        <v>78.132245008618796</v>
      </c>
      <c r="Y117" s="314" t="str">
        <f t="shared" ca="1" si="51"/>
        <v/>
      </c>
      <c r="Z117" s="315" t="str">
        <f t="shared" ca="1" si="52"/>
        <v/>
      </c>
      <c r="AA117" s="316" t="str">
        <f t="shared" ca="1" si="53"/>
        <v/>
      </c>
      <c r="AC117" s="310" t="e">
        <f t="shared" ca="1" si="54"/>
        <v>#N/A</v>
      </c>
      <c r="AD117" s="323" t="e">
        <f t="shared" ca="1" si="55"/>
        <v>#N/A</v>
      </c>
      <c r="AE117" s="324">
        <f t="shared" ca="1" si="34"/>
        <v>79.56533892965804</v>
      </c>
      <c r="AG117" s="306">
        <f t="shared" ca="1" si="56"/>
        <v>119.23145186038533</v>
      </c>
      <c r="AH117" s="304">
        <f t="shared" ca="1" si="57"/>
        <v>128.85636441802362</v>
      </c>
    </row>
    <row r="118" spans="1:34" x14ac:dyDescent="0.3">
      <c r="A118" s="347">
        <f t="shared" ca="1" si="35"/>
        <v>0.01</v>
      </c>
      <c r="B118" s="304">
        <f t="shared" ca="1" si="36"/>
        <v>1.1400000000000008</v>
      </c>
      <c r="D118" s="306">
        <f t="shared" ca="1" si="37"/>
        <v>24.876968501430596</v>
      </c>
      <c r="E118" s="307">
        <f t="shared" ca="1" si="38"/>
        <v>116.34750639762682</v>
      </c>
      <c r="F118" s="304">
        <f t="shared" ca="1" si="39"/>
        <v>118.9773331637879</v>
      </c>
      <c r="G118" s="306">
        <f t="shared" ca="1" si="40"/>
        <v>28.114626284031665</v>
      </c>
      <c r="H118" s="307">
        <f t="shared" ca="1" si="41"/>
        <v>142.47840183906621</v>
      </c>
      <c r="I118" s="304">
        <f t="shared" ca="1" si="42"/>
        <v>145.2257800864061</v>
      </c>
      <c r="J118" s="306">
        <f t="shared" ca="1" si="43"/>
        <v>15.421601481049219</v>
      </c>
      <c r="K118" s="307">
        <f t="shared" ca="1" si="44"/>
        <v>80.984305572728815</v>
      </c>
      <c r="L118" s="304">
        <f t="shared" ca="1" si="29"/>
        <v>82.439575091926656</v>
      </c>
      <c r="M118" s="306">
        <f t="shared" ca="1" si="45"/>
        <v>1.3759736894866486</v>
      </c>
      <c r="N118" s="304">
        <f t="shared" ca="1" si="46"/>
        <v>78.83748512862941</v>
      </c>
      <c r="P118" s="310">
        <f t="shared" ca="1" si="47"/>
        <v>11</v>
      </c>
      <c r="Q118" s="304">
        <f t="shared" ca="1" si="48"/>
        <v>1211.4124999999999</v>
      </c>
      <c r="R118" s="306">
        <f t="shared" ca="1" si="49"/>
        <v>0.59532656165073827</v>
      </c>
      <c r="S118" s="307">
        <f t="shared" ca="1" si="50"/>
        <v>8.8133443413210628</v>
      </c>
      <c r="T118" s="304">
        <f t="shared" ca="1" si="30"/>
        <v>86.458907988359627</v>
      </c>
      <c r="U118" s="311">
        <f t="shared" ca="1" si="31"/>
        <v>0</v>
      </c>
      <c r="V118" s="306">
        <f t="shared" ca="1" si="32"/>
        <v>1.2151194311178202</v>
      </c>
      <c r="W118" s="304">
        <f t="shared" ca="1" si="33"/>
        <v>79.416924190684838</v>
      </c>
      <c r="Y118" s="314" t="str">
        <f t="shared" ca="1" si="51"/>
        <v/>
      </c>
      <c r="Z118" s="315" t="str">
        <f t="shared" ca="1" si="52"/>
        <v/>
      </c>
      <c r="AA118" s="316" t="str">
        <f t="shared" ca="1" si="53"/>
        <v/>
      </c>
      <c r="AC118" s="310" t="e">
        <f t="shared" ca="1" si="54"/>
        <v>#N/A</v>
      </c>
      <c r="AD118" s="323" t="e">
        <f t="shared" ca="1" si="55"/>
        <v>#N/A</v>
      </c>
      <c r="AE118" s="324">
        <f t="shared" ca="1" si="34"/>
        <v>80.984305572728815</v>
      </c>
      <c r="AG118" s="306">
        <f t="shared" ca="1" si="56"/>
        <v>118.96219500124812</v>
      </c>
      <c r="AH118" s="304">
        <f t="shared" ca="1" si="57"/>
        <v>128.58685773549496</v>
      </c>
    </row>
    <row r="119" spans="1:34" x14ac:dyDescent="0.3">
      <c r="A119" s="347">
        <f t="shared" ca="1" si="35"/>
        <v>0.01</v>
      </c>
      <c r="B119" s="304">
        <f t="shared" ca="1" si="36"/>
        <v>1.1500000000000008</v>
      </c>
      <c r="D119" s="306">
        <f t="shared" ca="1" si="37"/>
        <v>24.84102370314136</v>
      </c>
      <c r="E119" s="307">
        <f t="shared" ca="1" si="38"/>
        <v>116.07854361831487</v>
      </c>
      <c r="F119" s="304">
        <f t="shared" ca="1" si="39"/>
        <v>118.70680160449551</v>
      </c>
      <c r="G119" s="306">
        <f t="shared" ca="1" si="40"/>
        <v>28.36303652106308</v>
      </c>
      <c r="H119" s="307">
        <f t="shared" ca="1" si="41"/>
        <v>143.63918727524936</v>
      </c>
      <c r="I119" s="304">
        <f t="shared" ca="1" si="42"/>
        <v>146.41269740630187</v>
      </c>
      <c r="J119" s="306">
        <f t="shared" ca="1" si="43"/>
        <v>15.703989795074692</v>
      </c>
      <c r="K119" s="307">
        <f t="shared" ca="1" si="44"/>
        <v>82.414893518300389</v>
      </c>
      <c r="L119" s="304">
        <f t="shared" ca="1" si="29"/>
        <v>83.897735184667539</v>
      </c>
      <c r="M119" s="306">
        <f t="shared" ca="1" si="45"/>
        <v>1.3758439778725096</v>
      </c>
      <c r="N119" s="304">
        <f t="shared" ca="1" si="46"/>
        <v>78.830053200585425</v>
      </c>
      <c r="P119" s="310">
        <f t="shared" ca="1" si="47"/>
        <v>11</v>
      </c>
      <c r="Q119" s="304">
        <f t="shared" ca="1" si="48"/>
        <v>1209.5474999999999</v>
      </c>
      <c r="R119" s="306">
        <f t="shared" ca="1" si="49"/>
        <v>0.59441004144190879</v>
      </c>
      <c r="S119" s="307">
        <f t="shared" ca="1" si="50"/>
        <v>8.8074002409066434</v>
      </c>
      <c r="T119" s="304">
        <f t="shared" ca="1" si="30"/>
        <v>86.40059636329417</v>
      </c>
      <c r="U119" s="311">
        <f t="shared" ca="1" si="31"/>
        <v>0</v>
      </c>
      <c r="V119" s="306">
        <f t="shared" ca="1" si="32"/>
        <v>1.2149456071298974</v>
      </c>
      <c r="W119" s="304">
        <f t="shared" ca="1" si="33"/>
        <v>80.708816681797217</v>
      </c>
      <c r="Y119" s="314" t="str">
        <f t="shared" ca="1" si="51"/>
        <v/>
      </c>
      <c r="Z119" s="315" t="str">
        <f t="shared" ca="1" si="52"/>
        <v/>
      </c>
      <c r="AA119" s="316" t="str">
        <f t="shared" ca="1" si="53"/>
        <v/>
      </c>
      <c r="AC119" s="310" t="e">
        <f t="shared" ca="1" si="54"/>
        <v>#N/A</v>
      </c>
      <c r="AD119" s="323" t="e">
        <f t="shared" ca="1" si="55"/>
        <v>#N/A</v>
      </c>
      <c r="AE119" s="324">
        <f t="shared" ca="1" si="34"/>
        <v>82.414893518300389</v>
      </c>
      <c r="AG119" s="306">
        <f t="shared" ca="1" si="56"/>
        <v>118.69160881914183</v>
      </c>
      <c r="AH119" s="304">
        <f t="shared" ca="1" si="57"/>
        <v>128.31602344586742</v>
      </c>
    </row>
    <row r="120" spans="1:34" x14ac:dyDescent="0.3">
      <c r="A120" s="347">
        <f t="shared" ca="1" si="35"/>
        <v>0.01</v>
      </c>
      <c r="B120" s="304">
        <f t="shared" ca="1" si="36"/>
        <v>1.1600000000000008</v>
      </c>
      <c r="D120" s="306">
        <f t="shared" ca="1" si="37"/>
        <v>24.804631278792041</v>
      </c>
      <c r="E120" s="307">
        <f t="shared" ca="1" si="38"/>
        <v>115.80832280905496</v>
      </c>
      <c r="F120" s="304">
        <f t="shared" ca="1" si="39"/>
        <v>118.43494992916199</v>
      </c>
      <c r="G120" s="306">
        <f t="shared" ca="1" si="40"/>
        <v>28.611082833851</v>
      </c>
      <c r="H120" s="307">
        <f t="shared" ca="1" si="41"/>
        <v>144.79727050333992</v>
      </c>
      <c r="I120" s="304">
        <f t="shared" ca="1" si="42"/>
        <v>147.59689565212025</v>
      </c>
      <c r="J120" s="306">
        <f t="shared" ca="1" si="43"/>
        <v>15.988860391849263</v>
      </c>
      <c r="K120" s="307">
        <f t="shared" ca="1" si="44"/>
        <v>83.85707580719334</v>
      </c>
      <c r="L120" s="304">
        <f t="shared" ca="1" si="29"/>
        <v>85.367750465637883</v>
      </c>
      <c r="M120" s="306">
        <f t="shared" ca="1" si="45"/>
        <v>1.3757152223790416</v>
      </c>
      <c r="N120" s="304">
        <f t="shared" ca="1" si="46"/>
        <v>78.82267605422058</v>
      </c>
      <c r="P120" s="310">
        <f t="shared" ca="1" si="47"/>
        <v>11</v>
      </c>
      <c r="Q120" s="304">
        <f t="shared" ca="1" si="48"/>
        <v>1207.6824999999999</v>
      </c>
      <c r="R120" s="306">
        <f t="shared" ca="1" si="49"/>
        <v>0.5934935212330793</v>
      </c>
      <c r="S120" s="307">
        <f t="shared" ca="1" si="50"/>
        <v>8.8014653056943128</v>
      </c>
      <c r="T120" s="304">
        <f t="shared" ca="1" si="30"/>
        <v>86.34237464886121</v>
      </c>
      <c r="U120" s="311">
        <f t="shared" ca="1" si="31"/>
        <v>0</v>
      </c>
      <c r="V120" s="306">
        <f t="shared" ca="1" si="32"/>
        <v>1.2147703994331294</v>
      </c>
      <c r="W120" s="304">
        <f t="shared" ca="1" si="33"/>
        <v>82.007827771688284</v>
      </c>
      <c r="Y120" s="314" t="str">
        <f t="shared" ca="1" si="51"/>
        <v/>
      </c>
      <c r="Z120" s="315" t="str">
        <f t="shared" ca="1" si="52"/>
        <v/>
      </c>
      <c r="AA120" s="316" t="str">
        <f t="shared" ca="1" si="53"/>
        <v/>
      </c>
      <c r="AC120" s="310" t="e">
        <f t="shared" ca="1" si="54"/>
        <v>#N/A</v>
      </c>
      <c r="AD120" s="323" t="e">
        <f t="shared" ca="1" si="55"/>
        <v>#N/A</v>
      </c>
      <c r="AE120" s="324">
        <f t="shared" ca="1" si="34"/>
        <v>83.85707580719334</v>
      </c>
      <c r="AG120" s="306">
        <f t="shared" ca="1" si="56"/>
        <v>118.41970223893979</v>
      </c>
      <c r="AH120" s="304">
        <f t="shared" ca="1" si="57"/>
        <v>128.04387044383174</v>
      </c>
    </row>
    <row r="121" spans="1:34" x14ac:dyDescent="0.3">
      <c r="A121" s="347">
        <f t="shared" ca="1" si="35"/>
        <v>0.01</v>
      </c>
      <c r="B121" s="304">
        <f t="shared" ca="1" si="36"/>
        <v>1.1700000000000008</v>
      </c>
      <c r="D121" s="306">
        <f t="shared" ca="1" si="37"/>
        <v>24.767795431320394</v>
      </c>
      <c r="E121" s="307">
        <f t="shared" ca="1" si="38"/>
        <v>115.53685232525245</v>
      </c>
      <c r="F121" s="304">
        <f t="shared" ca="1" si="39"/>
        <v>118.1617871215349</v>
      </c>
      <c r="G121" s="306">
        <f t="shared" ca="1" si="40"/>
        <v>28.858760788164204</v>
      </c>
      <c r="H121" s="307">
        <f t="shared" ca="1" si="41"/>
        <v>145.95263902659244</v>
      </c>
      <c r="I121" s="304">
        <f t="shared" ca="1" si="42"/>
        <v>148.77836170981075</v>
      </c>
      <c r="J121" s="306">
        <f t="shared" ca="1" si="43"/>
        <v>16.276209609959338</v>
      </c>
      <c r="K121" s="307">
        <f t="shared" ca="1" si="44"/>
        <v>85.310825354843004</v>
      </c>
      <c r="L121" s="304">
        <f t="shared" ca="1" si="29"/>
        <v>86.849593677759117</v>
      </c>
      <c r="M121" s="306">
        <f t="shared" ca="1" si="45"/>
        <v>1.375587406059501</v>
      </c>
      <c r="N121" s="304">
        <f t="shared" ca="1" si="46"/>
        <v>78.815352718558017</v>
      </c>
      <c r="P121" s="310">
        <f t="shared" ca="1" si="47"/>
        <v>11</v>
      </c>
      <c r="Q121" s="304">
        <f t="shared" ca="1" si="48"/>
        <v>1205.8174999999999</v>
      </c>
      <c r="R121" s="306">
        <f t="shared" ca="1" si="49"/>
        <v>0.59257700102424982</v>
      </c>
      <c r="S121" s="307">
        <f t="shared" ca="1" si="50"/>
        <v>8.7955395356840711</v>
      </c>
      <c r="T121" s="304">
        <f t="shared" ca="1" si="30"/>
        <v>86.284242845060746</v>
      </c>
      <c r="U121" s="311">
        <f t="shared" ca="1" si="31"/>
        <v>0</v>
      </c>
      <c r="V121" s="306">
        <f t="shared" ca="1" si="32"/>
        <v>1.2145938119187325</v>
      </c>
      <c r="W121" s="304">
        <f t="shared" ca="1" si="33"/>
        <v>83.313862562434693</v>
      </c>
      <c r="Y121" s="314" t="str">
        <f t="shared" ca="1" si="51"/>
        <v/>
      </c>
      <c r="Z121" s="315" t="str">
        <f t="shared" ca="1" si="52"/>
        <v/>
      </c>
      <c r="AA121" s="316" t="str">
        <f t="shared" ca="1" si="53"/>
        <v/>
      </c>
      <c r="AC121" s="310" t="e">
        <f t="shared" ca="1" si="54"/>
        <v>#N/A</v>
      </c>
      <c r="AD121" s="323" t="e">
        <f t="shared" ca="1" si="55"/>
        <v>#N/A</v>
      </c>
      <c r="AE121" s="324">
        <f t="shared" ca="1" si="34"/>
        <v>85.310825354843004</v>
      </c>
      <c r="AG121" s="306">
        <f t="shared" ca="1" si="56"/>
        <v>118.14648423935806</v>
      </c>
      <c r="AH121" s="304">
        <f t="shared" ca="1" si="57"/>
        <v>127.77040767868115</v>
      </c>
    </row>
    <row r="122" spans="1:34" x14ac:dyDescent="0.3">
      <c r="A122" s="347">
        <f t="shared" ca="1" si="35"/>
        <v>0.01</v>
      </c>
      <c r="B122" s="304">
        <f t="shared" ca="1" si="36"/>
        <v>1.1800000000000008</v>
      </c>
      <c r="D122" s="306">
        <f t="shared" ca="1" si="37"/>
        <v>24.730520311364597</v>
      </c>
      <c r="E122" s="307">
        <f t="shared" ca="1" si="38"/>
        <v>115.26414058557778</v>
      </c>
      <c r="F122" s="304">
        <f t="shared" ca="1" si="39"/>
        <v>117.8873222183058</v>
      </c>
      <c r="G122" s="306">
        <f t="shared" ca="1" si="40"/>
        <v>29.106065991277852</v>
      </c>
      <c r="H122" s="307">
        <f t="shared" ca="1" si="41"/>
        <v>147.10528043244821</v>
      </c>
      <c r="I122" s="304">
        <f t="shared" ca="1" si="42"/>
        <v>149.95708255563608</v>
      </c>
      <c r="J122" s="306">
        <f t="shared" ca="1" si="43"/>
        <v>16.566033743856547</v>
      </c>
      <c r="K122" s="307">
        <f t="shared" ca="1" si="44"/>
        <v>86.776114952138201</v>
      </c>
      <c r="L122" s="304">
        <f t="shared" ca="1" si="29"/>
        <v>88.343237433259688</v>
      </c>
      <c r="M122" s="306">
        <f t="shared" ca="1" si="45"/>
        <v>1.375460512397092</v>
      </c>
      <c r="N122" s="304">
        <f t="shared" ca="1" si="46"/>
        <v>78.808082247255015</v>
      </c>
      <c r="P122" s="310">
        <f t="shared" ca="1" si="47"/>
        <v>11</v>
      </c>
      <c r="Q122" s="304">
        <f t="shared" ca="1" si="48"/>
        <v>1203.9524999999999</v>
      </c>
      <c r="R122" s="306">
        <f t="shared" ca="1" si="49"/>
        <v>0.59166048081542044</v>
      </c>
      <c r="S122" s="307">
        <f t="shared" ca="1" si="50"/>
        <v>8.7896229308759164</v>
      </c>
      <c r="T122" s="304">
        <f t="shared" ca="1" si="30"/>
        <v>86.22620095189275</v>
      </c>
      <c r="U122" s="311">
        <f t="shared" ca="1" si="31"/>
        <v>0</v>
      </c>
      <c r="V122" s="306">
        <f t="shared" ca="1" si="32"/>
        <v>1.2144158484957432</v>
      </c>
      <c r="W122" s="304">
        <f t="shared" ca="1" si="33"/>
        <v>84.626825977215347</v>
      </c>
      <c r="Y122" s="314" t="str">
        <f t="shared" ca="1" si="51"/>
        <v/>
      </c>
      <c r="Z122" s="315" t="str">
        <f t="shared" ca="1" si="52"/>
        <v/>
      </c>
      <c r="AA122" s="316" t="str">
        <f t="shared" ca="1" si="53"/>
        <v/>
      </c>
      <c r="AC122" s="310" t="e">
        <f t="shared" ca="1" si="54"/>
        <v>#N/A</v>
      </c>
      <c r="AD122" s="323" t="e">
        <f t="shared" ca="1" si="55"/>
        <v>#N/A</v>
      </c>
      <c r="AE122" s="324">
        <f t="shared" ca="1" si="34"/>
        <v>86.776114952138201</v>
      </c>
      <c r="AG122" s="306">
        <f t="shared" ca="1" si="56"/>
        <v>117.87196385207496</v>
      </c>
      <c r="AH122" s="304">
        <f t="shared" ca="1" si="57"/>
        <v>127.49564415340507</v>
      </c>
    </row>
    <row r="123" spans="1:34" x14ac:dyDescent="0.3">
      <c r="A123" s="347">
        <f t="shared" ca="1" si="35"/>
        <v>0.01</v>
      </c>
      <c r="B123" s="304">
        <f t="shared" ca="1" si="36"/>
        <v>1.1900000000000008</v>
      </c>
      <c r="D123" s="306">
        <f t="shared" ca="1" si="37"/>
        <v>24.692810019326402</v>
      </c>
      <c r="E123" s="307">
        <f t="shared" ca="1" si="38"/>
        <v>114.99019607069896</v>
      </c>
      <c r="F123" s="304">
        <f t="shared" ca="1" si="39"/>
        <v>117.61156430822751</v>
      </c>
      <c r="G123" s="306">
        <f t="shared" ca="1" si="40"/>
        <v>29.352994091471118</v>
      </c>
      <c r="H123" s="307">
        <f t="shared" ca="1" si="41"/>
        <v>148.2551823931552</v>
      </c>
      <c r="I123" s="304">
        <f t="shared" ca="1" si="42"/>
        <v>151.13304525669312</v>
      </c>
      <c r="J123" s="306">
        <f t="shared" ca="1" si="43"/>
        <v>16.858329044270292</v>
      </c>
      <c r="K123" s="307">
        <f t="shared" ca="1" si="44"/>
        <v>88.252917266266223</v>
      </c>
      <c r="L123" s="304">
        <f t="shared" ca="1" si="29"/>
        <v>89.848654214580847</v>
      </c>
      <c r="M123" s="306">
        <f t="shared" ca="1" si="45"/>
        <v>1.3753345252904086</v>
      </c>
      <c r="N123" s="304">
        <f t="shared" ca="1" si="46"/>
        <v>78.800863717768991</v>
      </c>
      <c r="P123" s="310">
        <f t="shared" ca="1" si="47"/>
        <v>11</v>
      </c>
      <c r="Q123" s="304">
        <f t="shared" ca="1" si="48"/>
        <v>1202.0874999999999</v>
      </c>
      <c r="R123" s="306">
        <f t="shared" ca="1" si="49"/>
        <v>0.59074396060659096</v>
      </c>
      <c r="S123" s="307">
        <f t="shared" ca="1" si="50"/>
        <v>8.7837154912698505</v>
      </c>
      <c r="T123" s="304">
        <f t="shared" ca="1" si="30"/>
        <v>86.168248969357236</v>
      </c>
      <c r="U123" s="311">
        <f t="shared" ca="1" si="31"/>
        <v>0</v>
      </c>
      <c r="V123" s="306">
        <f t="shared" ca="1" si="32"/>
        <v>1.214236513090867</v>
      </c>
      <c r="W123" s="304">
        <f t="shared" ca="1" si="33"/>
        <v>85.946622769065783</v>
      </c>
      <c r="Y123" s="314" t="str">
        <f t="shared" ca="1" si="51"/>
        <v/>
      </c>
      <c r="Z123" s="315" t="str">
        <f t="shared" ca="1" si="52"/>
        <v/>
      </c>
      <c r="AA123" s="316" t="str">
        <f t="shared" ca="1" si="53"/>
        <v/>
      </c>
      <c r="AC123" s="310" t="e">
        <f t="shared" ca="1" si="54"/>
        <v>#N/A</v>
      </c>
      <c r="AD123" s="323" t="e">
        <f t="shared" ca="1" si="55"/>
        <v>#N/A</v>
      </c>
      <c r="AE123" s="324">
        <f t="shared" ca="1" si="34"/>
        <v>88.252917266266223</v>
      </c>
      <c r="AG123" s="306">
        <f t="shared" ca="1" si="56"/>
        <v>117.59615016084611</v>
      </c>
      <c r="AH123" s="304">
        <f t="shared" ca="1" si="57"/>
        <v>127.21958892377954</v>
      </c>
    </row>
    <row r="124" spans="1:34" x14ac:dyDescent="0.3">
      <c r="A124" s="347">
        <f t="shared" ca="1" si="35"/>
        <v>0.01</v>
      </c>
      <c r="B124" s="304">
        <f t="shared" ca="1" si="36"/>
        <v>1.2000000000000008</v>
      </c>
      <c r="D124" s="306">
        <f t="shared" ca="1" si="37"/>
        <v>24.654668607337975</v>
      </c>
      <c r="E124" s="307">
        <f t="shared" ca="1" si="38"/>
        <v>114.71502732202535</v>
      </c>
      <c r="F124" s="304">
        <f t="shared" ca="1" si="39"/>
        <v>117.33452253122556</v>
      </c>
      <c r="G124" s="306">
        <f t="shared" ca="1" si="40"/>
        <v>29.599540777544497</v>
      </c>
      <c r="H124" s="307">
        <f t="shared" ca="1" si="41"/>
        <v>149.40233266637546</v>
      </c>
      <c r="I124" s="304">
        <f t="shared" ca="1" si="42"/>
        <v>152.30623697142491</v>
      </c>
      <c r="J124" s="306">
        <f t="shared" ca="1" si="43"/>
        <v>17.153091718615372</v>
      </c>
      <c r="K124" s="307">
        <f t="shared" ca="1" si="44"/>
        <v>89.741204841563871</v>
      </c>
      <c r="L124" s="304">
        <f t="shared" ca="1" si="29"/>
        <v>91.365816375287523</v>
      </c>
      <c r="M124" s="306">
        <f t="shared" ca="1" si="45"/>
        <v>1.3752094290394918</v>
      </c>
      <c r="N124" s="304">
        <f t="shared" ca="1" si="46"/>
        <v>78.793696230558552</v>
      </c>
      <c r="P124" s="310">
        <f t="shared" ca="1" si="47"/>
        <v>11</v>
      </c>
      <c r="Q124" s="304">
        <f t="shared" ca="1" si="48"/>
        <v>1200.2224999999999</v>
      </c>
      <c r="R124" s="306">
        <f t="shared" ca="1" si="49"/>
        <v>0.58982744039776147</v>
      </c>
      <c r="S124" s="307">
        <f t="shared" ca="1" si="50"/>
        <v>8.7778172168658735</v>
      </c>
      <c r="T124" s="304">
        <f t="shared" ca="1" si="30"/>
        <v>86.110386897454219</v>
      </c>
      <c r="U124" s="311">
        <f t="shared" ca="1" si="31"/>
        <v>0</v>
      </c>
      <c r="V124" s="306">
        <f t="shared" ca="1" si="32"/>
        <v>1.2140558096483172</v>
      </c>
      <c r="W124" s="304">
        <f t="shared" ca="1" si="33"/>
        <v>87.273157529625323</v>
      </c>
      <c r="Y124" s="314" t="str">
        <f t="shared" ca="1" si="51"/>
        <v/>
      </c>
      <c r="Z124" s="315" t="str">
        <f t="shared" ca="1" si="52"/>
        <v/>
      </c>
      <c r="AA124" s="316" t="str">
        <f t="shared" ca="1" si="53"/>
        <v/>
      </c>
      <c r="AC124" s="310" t="e">
        <f t="shared" ca="1" si="54"/>
        <v>#N/A</v>
      </c>
      <c r="AD124" s="323" t="e">
        <f t="shared" ca="1" si="55"/>
        <v>#N/A</v>
      </c>
      <c r="AE124" s="324">
        <f t="shared" ca="1" si="34"/>
        <v>89.741204841563871</v>
      </c>
      <c r="AG124" s="306">
        <f t="shared" ca="1" si="56"/>
        <v>117.31905230061385</v>
      </c>
      <c r="AH124" s="304">
        <f t="shared" ca="1" si="57"/>
        <v>126.94225109745304</v>
      </c>
    </row>
    <row r="125" spans="1:34" x14ac:dyDescent="0.3">
      <c r="A125" s="347">
        <f t="shared" ca="1" si="35"/>
        <v>0.01</v>
      </c>
      <c r="B125" s="304">
        <f t="shared" ca="1" si="36"/>
        <v>1.2100000000000009</v>
      </c>
      <c r="D125" s="306">
        <f t="shared" ca="1" si="37"/>
        <v>24.591858497264845</v>
      </c>
      <c r="E125" s="307">
        <f t="shared" ca="1" si="38"/>
        <v>114.31628465101439</v>
      </c>
      <c r="F125" s="304">
        <f t="shared" ca="1" si="39"/>
        <v>116.93148609660805</v>
      </c>
      <c r="G125" s="306">
        <f t="shared" ca="1" si="40"/>
        <v>29.845459362517147</v>
      </c>
      <c r="H125" s="307">
        <f t="shared" ca="1" si="41"/>
        <v>150.54549551288559</v>
      </c>
      <c r="I125" s="304">
        <f t="shared" ca="1" si="42"/>
        <v>153.47539758469406</v>
      </c>
      <c r="J125" s="306">
        <f t="shared" ca="1" si="43"/>
        <v>17.45031671931568</v>
      </c>
      <c r="K125" s="307">
        <f t="shared" ca="1" si="44"/>
        <v>91.24094398246018</v>
      </c>
      <c r="L125" s="304">
        <f t="shared" ca="1" si="29"/>
        <v>92.8946899042936</v>
      </c>
      <c r="M125" s="306">
        <f t="shared" ca="1" si="45"/>
        <v>1.3750852073228679</v>
      </c>
      <c r="N125" s="304">
        <f t="shared" ca="1" si="46"/>
        <v>78.786578850472125</v>
      </c>
      <c r="P125" s="310">
        <f t="shared" ca="1" si="47"/>
        <v>12</v>
      </c>
      <c r="Q125" s="304">
        <f t="shared" ca="1" si="48"/>
        <v>1197.2639999999997</v>
      </c>
      <c r="R125" s="306">
        <f t="shared" ca="1" si="49"/>
        <v>0.58837353957319194</v>
      </c>
      <c r="S125" s="307">
        <f t="shared" ca="1" si="50"/>
        <v>8.7719334814701408</v>
      </c>
      <c r="T125" s="304">
        <f t="shared" ca="1" si="30"/>
        <v>86.052667453222085</v>
      </c>
      <c r="U125" s="311">
        <f t="shared" ca="1" si="31"/>
        <v>0</v>
      </c>
      <c r="V125" s="306">
        <f t="shared" ca="1" si="32"/>
        <v>1.213873742872315</v>
      </c>
      <c r="W125" s="304">
        <f t="shared" ca="1" si="33"/>
        <v>88.604894480445509</v>
      </c>
      <c r="Y125" s="314" t="str">
        <f t="shared" ca="1" si="51"/>
        <v/>
      </c>
      <c r="Z125" s="315" t="str">
        <f t="shared" ca="1" si="52"/>
        <v/>
      </c>
      <c r="AA125" s="316" t="str">
        <f t="shared" ca="1" si="53"/>
        <v/>
      </c>
      <c r="AC125" s="310" t="e">
        <f t="shared" ca="1" si="54"/>
        <v>#N/A</v>
      </c>
      <c r="AD125" s="323" t="e">
        <f t="shared" ca="1" si="55"/>
        <v>#N/A</v>
      </c>
      <c r="AE125" s="324">
        <f t="shared" ca="1" si="34"/>
        <v>91.24094398246018</v>
      </c>
      <c r="AG125" s="306">
        <f t="shared" ca="1" si="56"/>
        <v>116.91594291270685</v>
      </c>
      <c r="AH125" s="304">
        <f t="shared" ca="1" si="57"/>
        <v>126.53890328912348</v>
      </c>
    </row>
    <row r="126" spans="1:34" x14ac:dyDescent="0.3">
      <c r="A126" s="347">
        <f t="shared" ca="1" si="35"/>
        <v>0.01</v>
      </c>
      <c r="B126" s="304">
        <f t="shared" ca="1" si="36"/>
        <v>1.2200000000000009</v>
      </c>
      <c r="D126" s="306">
        <f t="shared" ca="1" si="37"/>
        <v>24.504306482699516</v>
      </c>
      <c r="E126" s="307">
        <f t="shared" ca="1" si="38"/>
        <v>113.79382585602416</v>
      </c>
      <c r="F126" s="304">
        <f t="shared" ca="1" si="39"/>
        <v>116.40230169180171</v>
      </c>
      <c r="G126" s="306">
        <f t="shared" ca="1" si="40"/>
        <v>30.090502427344141</v>
      </c>
      <c r="H126" s="307">
        <f t="shared" ca="1" si="41"/>
        <v>151.68343377144583</v>
      </c>
      <c r="I126" s="304">
        <f t="shared" ca="1" si="42"/>
        <v>154.63926544389236</v>
      </c>
      <c r="J126" s="306">
        <f t="shared" ca="1" si="43"/>
        <v>17.749996528264987</v>
      </c>
      <c r="K126" s="307">
        <f t="shared" ca="1" si="44"/>
        <v>92.752088628881836</v>
      </c>
      <c r="L126" s="304">
        <f t="shared" ca="1" si="29"/>
        <v>94.435228181930981</v>
      </c>
      <c r="M126" s="306">
        <f t="shared" ca="1" si="45"/>
        <v>1.3749618432409734</v>
      </c>
      <c r="N126" s="304">
        <f t="shared" ca="1" si="46"/>
        <v>78.77951060923607</v>
      </c>
      <c r="P126" s="310">
        <f t="shared" ca="1" si="47"/>
        <v>12</v>
      </c>
      <c r="Q126" s="304">
        <f t="shared" ca="1" si="48"/>
        <v>1193.2119999999995</v>
      </c>
      <c r="R126" s="306">
        <f t="shared" ca="1" si="49"/>
        <v>0.58638225813288247</v>
      </c>
      <c r="S126" s="307">
        <f t="shared" ca="1" si="50"/>
        <v>8.7660696588888118</v>
      </c>
      <c r="T126" s="304">
        <f t="shared" ca="1" si="30"/>
        <v>85.995143353699248</v>
      </c>
      <c r="U126" s="311">
        <f t="shared" ca="1" si="31"/>
        <v>0</v>
      </c>
      <c r="V126" s="306">
        <f t="shared" ca="1" si="32"/>
        <v>1.213690318969826</v>
      </c>
      <c r="W126" s="304">
        <f t="shared" ca="1" si="33"/>
        <v>89.940253035026657</v>
      </c>
      <c r="Y126" s="314" t="str">
        <f t="shared" ca="1" si="51"/>
        <v/>
      </c>
      <c r="Z126" s="315" t="str">
        <f t="shared" ca="1" si="52"/>
        <v/>
      </c>
      <c r="AA126" s="316" t="str">
        <f t="shared" ca="1" si="53"/>
        <v/>
      </c>
      <c r="AC126" s="310" t="e">
        <f t="shared" ca="1" si="54"/>
        <v>#N/A</v>
      </c>
      <c r="AD126" s="323" t="e">
        <f t="shared" ca="1" si="55"/>
        <v>#N/A</v>
      </c>
      <c r="AE126" s="324">
        <f t="shared" ca="1" si="34"/>
        <v>92.752088628881836</v>
      </c>
      <c r="AG126" s="306">
        <f t="shared" ca="1" si="56"/>
        <v>116.38666824942402</v>
      </c>
      <c r="AH126" s="304">
        <f t="shared" ca="1" si="57"/>
        <v>126.0093917231744</v>
      </c>
    </row>
    <row r="127" spans="1:34" x14ac:dyDescent="0.3">
      <c r="A127" s="347">
        <f t="shared" ca="1" si="35"/>
        <v>0.01</v>
      </c>
      <c r="B127" s="304">
        <f t="shared" ca="1" si="36"/>
        <v>1.2300000000000009</v>
      </c>
      <c r="D127" s="306">
        <f t="shared" ca="1" si="37"/>
        <v>24.416245606565045</v>
      </c>
      <c r="E127" s="307">
        <f t="shared" ca="1" si="38"/>
        <v>113.27003106140381</v>
      </c>
      <c r="F127" s="304">
        <f t="shared" ca="1" si="39"/>
        <v>115.87170917083898</v>
      </c>
      <c r="G127" s="306">
        <f t="shared" ca="1" si="40"/>
        <v>30.334664883409793</v>
      </c>
      <c r="H127" s="307">
        <f t="shared" ca="1" si="41"/>
        <v>152.81613408205988</v>
      </c>
      <c r="I127" s="304">
        <f t="shared" ca="1" si="42"/>
        <v>155.79782645908406</v>
      </c>
      <c r="J127" s="306">
        <f t="shared" ca="1" si="43"/>
        <v>18.052122364818757</v>
      </c>
      <c r="K127" s="307">
        <f t="shared" ca="1" si="44"/>
        <v>94.274586468149366</v>
      </c>
      <c r="L127" s="304">
        <f t="shared" ca="1" si="29"/>
        <v>95.987378209923833</v>
      </c>
      <c r="M127" s="306">
        <f t="shared" ca="1" si="45"/>
        <v>1.3748393203388329</v>
      </c>
      <c r="N127" s="304">
        <f t="shared" ca="1" si="46"/>
        <v>78.772490564049733</v>
      </c>
      <c r="P127" s="310">
        <f t="shared" ca="1" si="47"/>
        <v>12</v>
      </c>
      <c r="Q127" s="304">
        <f t="shared" ca="1" si="48"/>
        <v>1189.1599999999996</v>
      </c>
      <c r="R127" s="306">
        <f t="shared" ca="1" si="49"/>
        <v>0.58439097669257312</v>
      </c>
      <c r="S127" s="307">
        <f t="shared" ca="1" si="50"/>
        <v>8.7602257491218865</v>
      </c>
      <c r="T127" s="304">
        <f t="shared" ca="1" si="30"/>
        <v>85.937814598885709</v>
      </c>
      <c r="U127" s="311">
        <f t="shared" ca="1" si="31"/>
        <v>0</v>
      </c>
      <c r="V127" s="306">
        <f t="shared" ca="1" si="32"/>
        <v>1.213505544907677</v>
      </c>
      <c r="W127" s="304">
        <f t="shared" ca="1" si="33"/>
        <v>91.279071821936753</v>
      </c>
      <c r="Y127" s="314" t="str">
        <f t="shared" ca="1" si="51"/>
        <v/>
      </c>
      <c r="Z127" s="315" t="str">
        <f t="shared" ca="1" si="52"/>
        <v/>
      </c>
      <c r="AA127" s="316" t="str">
        <f t="shared" ca="1" si="53"/>
        <v/>
      </c>
      <c r="AC127" s="310" t="e">
        <f t="shared" ca="1" si="54"/>
        <v>#N/A</v>
      </c>
      <c r="AD127" s="323" t="e">
        <f t="shared" ca="1" si="55"/>
        <v>#N/A</v>
      </c>
      <c r="AE127" s="324">
        <f t="shared" ca="1" si="34"/>
        <v>94.274586468149366</v>
      </c>
      <c r="AG127" s="306">
        <f t="shared" ca="1" si="56"/>
        <v>115.85598457840219</v>
      </c>
      <c r="AH127" s="304">
        <f t="shared" ca="1" si="57"/>
        <v>125.47847263812321</v>
      </c>
    </row>
    <row r="128" spans="1:34" x14ac:dyDescent="0.3">
      <c r="A128" s="347">
        <f t="shared" ca="1" si="35"/>
        <v>0.01</v>
      </c>
      <c r="B128" s="304">
        <f t="shared" ca="1" si="36"/>
        <v>1.2400000000000009</v>
      </c>
      <c r="D128" s="306">
        <f t="shared" ca="1" si="37"/>
        <v>24.327682472309277</v>
      </c>
      <c r="E128" s="307">
        <f t="shared" ca="1" si="38"/>
        <v>112.7449186346016</v>
      </c>
      <c r="F128" s="304">
        <f t="shared" ca="1" si="39"/>
        <v>115.3397278148186</v>
      </c>
      <c r="G128" s="306">
        <f t="shared" ca="1" si="40"/>
        <v>30.577941708132887</v>
      </c>
      <c r="H128" s="307">
        <f t="shared" ca="1" si="41"/>
        <v>153.94358326840589</v>
      </c>
      <c r="I128" s="304">
        <f t="shared" ca="1" si="42"/>
        <v>156.95106673298716</v>
      </c>
      <c r="J128" s="306">
        <f t="shared" ca="1" si="43"/>
        <v>18.35668539777647</v>
      </c>
      <c r="K128" s="307">
        <f t="shared" ca="1" si="44"/>
        <v>95.808385054901692</v>
      </c>
      <c r="L128" s="304">
        <f t="shared" ca="1" si="29"/>
        <v>97.551086850025655</v>
      </c>
      <c r="M128" s="306">
        <f t="shared" ca="1" si="45"/>
        <v>1.3747176225902908</v>
      </c>
      <c r="N128" s="304">
        <f t="shared" ca="1" si="46"/>
        <v>78.765517796682019</v>
      </c>
      <c r="P128" s="310">
        <f t="shared" ca="1" si="47"/>
        <v>12</v>
      </c>
      <c r="Q128" s="304">
        <f t="shared" ca="1" si="48"/>
        <v>1185.1079999999995</v>
      </c>
      <c r="R128" s="306">
        <f t="shared" ca="1" si="49"/>
        <v>0.58239969525226365</v>
      </c>
      <c r="S128" s="307">
        <f t="shared" ca="1" si="50"/>
        <v>8.7544017521693647</v>
      </c>
      <c r="T128" s="304">
        <f t="shared" ca="1" si="30"/>
        <v>85.880681188781466</v>
      </c>
      <c r="U128" s="311">
        <f t="shared" ca="1" si="31"/>
        <v>0</v>
      </c>
      <c r="V128" s="306">
        <f t="shared" ca="1" si="32"/>
        <v>1.2133194276693506</v>
      </c>
      <c r="W128" s="304">
        <f t="shared" ca="1" si="33"/>
        <v>92.621189940467744</v>
      </c>
      <c r="Y128" s="314" t="str">
        <f t="shared" ca="1" si="51"/>
        <v/>
      </c>
      <c r="Z128" s="315" t="str">
        <f t="shared" ca="1" si="52"/>
        <v/>
      </c>
      <c r="AA128" s="316" t="str">
        <f t="shared" ca="1" si="53"/>
        <v/>
      </c>
      <c r="AC128" s="310" t="e">
        <f t="shared" ca="1" si="54"/>
        <v>#N/A</v>
      </c>
      <c r="AD128" s="323" t="e">
        <f t="shared" ca="1" si="55"/>
        <v>#N/A</v>
      </c>
      <c r="AE128" s="324">
        <f t="shared" ca="1" si="34"/>
        <v>95.808385054901692</v>
      </c>
      <c r="AG128" s="306">
        <f t="shared" ca="1" si="56"/>
        <v>115.32391116536084</v>
      </c>
      <c r="AH128" s="304">
        <f t="shared" ca="1" si="57"/>
        <v>124.94616527131726</v>
      </c>
    </row>
    <row r="129" spans="1:34" x14ac:dyDescent="0.3">
      <c r="A129" s="347">
        <f t="shared" ca="1" si="35"/>
        <v>0.01</v>
      </c>
      <c r="B129" s="304">
        <f t="shared" ca="1" si="36"/>
        <v>1.2500000000000009</v>
      </c>
      <c r="D129" s="306">
        <f t="shared" ca="1" si="37"/>
        <v>24.238623615751159</v>
      </c>
      <c r="E129" s="307">
        <f t="shared" ca="1" si="38"/>
        <v>112.21850697143206</v>
      </c>
      <c r="F129" s="304">
        <f t="shared" ca="1" si="39"/>
        <v>114.80637692081132</v>
      </c>
      <c r="G129" s="306">
        <f t="shared" ca="1" si="40"/>
        <v>30.820327944290398</v>
      </c>
      <c r="H129" s="307">
        <f t="shared" ca="1" si="41"/>
        <v>155.06576833812022</v>
      </c>
      <c r="I129" s="304">
        <f t="shared" ca="1" si="42"/>
        <v>158.09897256113075</v>
      </c>
      <c r="J129" s="306">
        <f t="shared" ca="1" si="43"/>
        <v>18.663676746038586</v>
      </c>
      <c r="K129" s="307">
        <f t="shared" ca="1" si="44"/>
        <v>97.353431812934318</v>
      </c>
      <c r="L129" s="304">
        <f t="shared" ca="1" si="29"/>
        <v>99.126300825947666</v>
      </c>
      <c r="M129" s="306">
        <f t="shared" ca="1" si="45"/>
        <v>1.3745967343829384</v>
      </c>
      <c r="N129" s="304">
        <f t="shared" ca="1" si="46"/>
        <v>78.758591412607828</v>
      </c>
      <c r="P129" s="310">
        <f t="shared" ca="1" si="47"/>
        <v>12</v>
      </c>
      <c r="Q129" s="304">
        <f t="shared" ca="1" si="48"/>
        <v>1181.0559999999996</v>
      </c>
      <c r="R129" s="306">
        <f t="shared" ca="1" si="49"/>
        <v>0.5804084138119544</v>
      </c>
      <c r="S129" s="307">
        <f t="shared" ca="1" si="50"/>
        <v>8.7485976680312447</v>
      </c>
      <c r="T129" s="304">
        <f t="shared" ca="1" si="30"/>
        <v>85.823743123386521</v>
      </c>
      <c r="U129" s="311">
        <f t="shared" ca="1" si="31"/>
        <v>0</v>
      </c>
      <c r="V129" s="306">
        <f t="shared" ca="1" si="32"/>
        <v>1.2131319742546731</v>
      </c>
      <c r="W129" s="304">
        <f t="shared" ca="1" si="33"/>
        <v>93.966446976497906</v>
      </c>
      <c r="Y129" s="314" t="str">
        <f t="shared" ca="1" si="51"/>
        <v/>
      </c>
      <c r="Z129" s="315" t="str">
        <f t="shared" ca="1" si="52"/>
        <v/>
      </c>
      <c r="AA129" s="316" t="str">
        <f t="shared" ca="1" si="53"/>
        <v/>
      </c>
      <c r="AC129" s="310" t="e">
        <f t="shared" ca="1" si="54"/>
        <v>#N/A</v>
      </c>
      <c r="AD129" s="323" t="e">
        <f t="shared" ca="1" si="55"/>
        <v>#N/A</v>
      </c>
      <c r="AE129" s="324">
        <f t="shared" ca="1" si="34"/>
        <v>97.353431812934318</v>
      </c>
      <c r="AG129" s="306">
        <f t="shared" ca="1" si="56"/>
        <v>114.7904672917654</v>
      </c>
      <c r="AH129" s="304">
        <f t="shared" ca="1" si="57"/>
        <v>124.41248887657096</v>
      </c>
    </row>
    <row r="130" spans="1:34" x14ac:dyDescent="0.3">
      <c r="A130" s="347">
        <f t="shared" ca="1" si="35"/>
        <v>0.01</v>
      </c>
      <c r="B130" s="304">
        <f t="shared" ca="1" si="36"/>
        <v>1.2600000000000009</v>
      </c>
      <c r="D130" s="306">
        <f t="shared" ca="1" si="37"/>
        <v>24.149075507251613</v>
      </c>
      <c r="E130" s="307">
        <f t="shared" ca="1" si="38"/>
        <v>111.69081449347375</v>
      </c>
      <c r="F130" s="304">
        <f t="shared" ca="1" si="39"/>
        <v>114.27167579969459</v>
      </c>
      <c r="G130" s="306">
        <f t="shared" ca="1" si="40"/>
        <v>31.061818699362913</v>
      </c>
      <c r="H130" s="307">
        <f t="shared" ca="1" si="41"/>
        <v>156.18267648305496</v>
      </c>
      <c r="I130" s="304">
        <f t="shared" ca="1" si="42"/>
        <v>159.24153043199095</v>
      </c>
      <c r="J130" s="306">
        <f t="shared" ca="1" si="43"/>
        <v>18.973087479256854</v>
      </c>
      <c r="K130" s="307">
        <f t="shared" ca="1" si="44"/>
        <v>98.90967403704019</v>
      </c>
      <c r="L130" s="304">
        <f t="shared" ca="1" si="29"/>
        <v>100.71296672528854</v>
      </c>
      <c r="M130" s="306">
        <f t="shared" ca="1" si="45"/>
        <v>1.3744766405036943</v>
      </c>
      <c r="N130" s="304">
        <f t="shared" ca="1" si="46"/>
        <v>78.75171054018179</v>
      </c>
      <c r="P130" s="310">
        <f t="shared" ca="1" si="47"/>
        <v>12</v>
      </c>
      <c r="Q130" s="304">
        <f t="shared" ca="1" si="48"/>
        <v>1177.0039999999997</v>
      </c>
      <c r="R130" s="306">
        <f t="shared" ca="1" si="49"/>
        <v>0.57841713237164505</v>
      </c>
      <c r="S130" s="307">
        <f t="shared" ca="1" si="50"/>
        <v>8.7428134967075284</v>
      </c>
      <c r="T130" s="304">
        <f t="shared" ca="1" si="30"/>
        <v>85.767000402700859</v>
      </c>
      <c r="U130" s="311">
        <f t="shared" ca="1" si="31"/>
        <v>0</v>
      </c>
      <c r="V130" s="306">
        <f t="shared" ca="1" si="32"/>
        <v>1.2129431916795079</v>
      </c>
      <c r="W130" s="304">
        <f t="shared" ca="1" si="33"/>
        <v>95.314683018197172</v>
      </c>
      <c r="Y130" s="314" t="str">
        <f t="shared" ca="1" si="51"/>
        <v/>
      </c>
      <c r="Z130" s="315" t="str">
        <f t="shared" ca="1" si="52"/>
        <v/>
      </c>
      <c r="AA130" s="316" t="str">
        <f t="shared" ca="1" si="53"/>
        <v/>
      </c>
      <c r="AC130" s="310" t="e">
        <f t="shared" ca="1" si="54"/>
        <v>#N/A</v>
      </c>
      <c r="AD130" s="323" t="e">
        <f t="shared" ca="1" si="55"/>
        <v>#N/A</v>
      </c>
      <c r="AE130" s="324">
        <f t="shared" ca="1" si="34"/>
        <v>98.90967403704019</v>
      </c>
      <c r="AG130" s="306">
        <f t="shared" ca="1" si="56"/>
        <v>114.25567225265397</v>
      </c>
      <c r="AH130" s="304">
        <f t="shared" ca="1" si="57"/>
        <v>123.87746272196756</v>
      </c>
    </row>
    <row r="131" spans="1:34" x14ac:dyDescent="0.3">
      <c r="A131" s="347">
        <f t="shared" ca="1" si="35"/>
        <v>0.01</v>
      </c>
      <c r="B131" s="304">
        <f t="shared" ca="1" si="36"/>
        <v>1.2700000000000009</v>
      </c>
      <c r="D131" s="306">
        <f t="shared" ca="1" si="37"/>
        <v>24.059044553771876</v>
      </c>
      <c r="E131" s="307">
        <f t="shared" ca="1" si="38"/>
        <v>111.16185964549558</v>
      </c>
      <c r="F131" s="304">
        <f t="shared" ca="1" si="39"/>
        <v>113.73564377399568</v>
      </c>
      <c r="G131" s="306">
        <f t="shared" ca="1" si="40"/>
        <v>31.302409144900633</v>
      </c>
      <c r="H131" s="307">
        <f t="shared" ca="1" si="41"/>
        <v>157.29429507950991</v>
      </c>
      <c r="I131" s="304">
        <f t="shared" ca="1" si="42"/>
        <v>160.3787270271051</v>
      </c>
      <c r="J131" s="306">
        <f t="shared" ca="1" si="43"/>
        <v>19.284908618478173</v>
      </c>
      <c r="K131" s="307">
        <f t="shared" ca="1" si="44"/>
        <v>100.47705889485302</v>
      </c>
      <c r="L131" s="304">
        <f t="shared" ca="1" si="29"/>
        <v>102.31103100146541</v>
      </c>
      <c r="M131" s="306">
        <f t="shared" ca="1" si="45"/>
        <v>1.3743573261250108</v>
      </c>
      <c r="N131" s="304">
        <f t="shared" ca="1" si="46"/>
        <v>78.744874329848003</v>
      </c>
      <c r="P131" s="310">
        <f t="shared" ca="1" si="47"/>
        <v>12</v>
      </c>
      <c r="Q131" s="304">
        <f t="shared" ca="1" si="48"/>
        <v>1172.9519999999995</v>
      </c>
      <c r="R131" s="306">
        <f t="shared" ca="1" si="49"/>
        <v>0.57642585093133558</v>
      </c>
      <c r="S131" s="307">
        <f t="shared" ca="1" si="50"/>
        <v>8.7370492381982157</v>
      </c>
      <c r="T131" s="304">
        <f t="shared" ca="1" si="30"/>
        <v>85.710453026724494</v>
      </c>
      <c r="U131" s="311">
        <f t="shared" ca="1" si="31"/>
        <v>0</v>
      </c>
      <c r="V131" s="306">
        <f t="shared" ca="1" si="32"/>
        <v>1.2127530869754433</v>
      </c>
      <c r="W131" s="304">
        <f t="shared" ca="1" si="33"/>
        <v>96.665738671571901</v>
      </c>
      <c r="Y131" s="314" t="str">
        <f t="shared" ca="1" si="51"/>
        <v/>
      </c>
      <c r="Z131" s="315" t="str">
        <f t="shared" ca="1" si="52"/>
        <v/>
      </c>
      <c r="AA131" s="316" t="str">
        <f t="shared" ca="1" si="53"/>
        <v/>
      </c>
      <c r="AC131" s="310" t="e">
        <f t="shared" ca="1" si="54"/>
        <v>#N/A</v>
      </c>
      <c r="AD131" s="323" t="e">
        <f t="shared" ca="1" si="55"/>
        <v>#N/A</v>
      </c>
      <c r="AE131" s="324">
        <f t="shared" ca="1" si="34"/>
        <v>100.47705889485302</v>
      </c>
      <c r="AG131" s="306">
        <f t="shared" ca="1" si="56"/>
        <v>113.71954535447217</v>
      </c>
      <c r="AH131" s="304">
        <f t="shared" ca="1" si="57"/>
        <v>123.34110608766998</v>
      </c>
    </row>
    <row r="132" spans="1:34" x14ac:dyDescent="0.3">
      <c r="A132" s="347">
        <f t="shared" ca="1" si="35"/>
        <v>0.01</v>
      </c>
      <c r="B132" s="304">
        <f t="shared" ca="1" si="36"/>
        <v>1.2800000000000009</v>
      </c>
      <c r="D132" s="306">
        <f t="shared" ca="1" si="37"/>
        <v>23.968537100824424</v>
      </c>
      <c r="E132" s="307">
        <f t="shared" ca="1" si="38"/>
        <v>110.63166089291032</v>
      </c>
      <c r="F132" s="304">
        <f t="shared" ca="1" si="39"/>
        <v>113.19830017574247</v>
      </c>
      <c r="G132" s="306">
        <f t="shared" ca="1" si="40"/>
        <v>31.542094515908875</v>
      </c>
      <c r="H132" s="307">
        <f t="shared" ca="1" si="41"/>
        <v>158.400611688439</v>
      </c>
      <c r="I132" s="304">
        <f t="shared" ca="1" si="42"/>
        <v>161.51054922116438</v>
      </c>
      <c r="J132" s="306">
        <f t="shared" ca="1" si="43"/>
        <v>19.599131136782219</v>
      </c>
      <c r="K132" s="307">
        <f t="shared" ca="1" si="44"/>
        <v>102.05553342869275</v>
      </c>
      <c r="L132" s="304">
        <f t="shared" ref="L132:L195" ca="1" si="58">SQRT(pos_x^2+pos_z^2)</f>
        <v>103.92043997564585</v>
      </c>
      <c r="M132" s="306">
        <f t="shared" ca="1" si="45"/>
        <v>1.3742387767916688</v>
      </c>
      <c r="N132" s="304">
        <f t="shared" ca="1" si="46"/>
        <v>78.738081953383414</v>
      </c>
      <c r="P132" s="310">
        <f t="shared" ca="1" si="47"/>
        <v>12</v>
      </c>
      <c r="Q132" s="304">
        <f t="shared" ca="1" si="48"/>
        <v>1168.8999999999996</v>
      </c>
      <c r="R132" s="306">
        <f t="shared" ca="1" si="49"/>
        <v>0.57443456949102623</v>
      </c>
      <c r="S132" s="307">
        <f t="shared" ca="1" si="50"/>
        <v>8.7313048925033048</v>
      </c>
      <c r="T132" s="304">
        <f t="shared" ref="T132:T195" ca="1" si="59">m*g</f>
        <v>85.654100995457426</v>
      </c>
      <c r="U132" s="311">
        <f t="shared" ref="U132:U195" ca="1" si="60">IF(pos_xz&lt;L_rampe,Poids*COS(Beta),0)</f>
        <v>0</v>
      </c>
      <c r="V132" s="306">
        <f t="shared" ref="V132:V195" ca="1" si="61">Rho_moyen*(20000-Alt_rampe-pos_z)/(20000+Alt_rampe+pos_z)</f>
        <v>1.2125616671894826</v>
      </c>
      <c r="W132" s="304">
        <f t="shared" ref="W132:W195" ca="1" si="62">1/2*Rho*Sref*Cx*vit_xz^2</f>
        <v>98.019455075848043</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102.05553342869275</v>
      </c>
      <c r="AG132" s="306">
        <f t="shared" ca="1" si="56"/>
        <v>113.18210591291597</v>
      </c>
      <c r="AH132" s="304">
        <f t="shared" ca="1" si="57"/>
        <v>122.80343826374082</v>
      </c>
    </row>
    <row r="133" spans="1:34" x14ac:dyDescent="0.3">
      <c r="A133" s="347">
        <f t="shared" ref="A133:A196" ca="1" si="64">IF(B132+0.01&lt;=T_ini+ROUNDUP(Temps_fin_propu,0), 0.01, IF(K132&gt;0, 0.1, 0.0001))</f>
        <v>0.01</v>
      </c>
      <c r="B133" s="304">
        <f t="shared" ref="B133:B196" ca="1" si="65">B132+pas</f>
        <v>1.2900000000000009</v>
      </c>
      <c r="D133" s="306">
        <f t="shared" ref="D133:D196" ca="1" si="66">IF(AND(L132&lt;L_rampe,Poussee&lt;Poids*SIN(M132)),0,(-W132+Poussee)/m*COS(M132)-U132/m*SIN(M132))</f>
        <v>23.877559434322549</v>
      </c>
      <c r="E133" s="307">
        <f t="shared" ref="E133:E196" ca="1" si="67">IF(AND(L132&lt;L_rampe,Poussee&lt;Poids*SIN(M132)),0,(-W132+Poussee)/m*SIN(M132)+U132/m*COS(M132)-Poids/m)</f>
        <v>110.10023671925509</v>
      </c>
      <c r="F133" s="304">
        <f t="shared" ref="F133:F196" ca="1" si="68">SQRT(acc_x^2+acc_z^2)</f>
        <v>112.6596643443234</v>
      </c>
      <c r="G133" s="306">
        <f t="shared" ref="G133:G196" ca="1" si="69">G132+acc_x*pas</f>
        <v>31.780870110252099</v>
      </c>
      <c r="H133" s="307">
        <f t="shared" ref="H133:H196" ca="1" si="70">H132+acc_z*pas</f>
        <v>159.50161405563156</v>
      </c>
      <c r="I133" s="304">
        <f t="shared" ref="I133:I196" ca="1" si="71">SQRT(vit_x^2+vit_z^2)</f>
        <v>162.63698408208498</v>
      </c>
      <c r="J133" s="306">
        <f t="shared" ref="J133:J196" ca="1" si="72">J132+0.5*(vit_x+G132)*pas*(K132&gt;=0)</f>
        <v>19.915745959913025</v>
      </c>
      <c r="K133" s="307">
        <f t="shared" ref="K133:K196" ca="1" si="73">K132+0.5*(vit_z+H132)*pas</f>
        <v>103.6450445574131</v>
      </c>
      <c r="L133" s="304">
        <f t="shared" ca="1" si="58"/>
        <v>105.54113983868064</v>
      </c>
      <c r="M133" s="306">
        <f t="shared" ref="M133:M196" ca="1" si="74">IF(AND(L132&gt;L_rampe,G133&gt;0),ATAN2(G133,H133),$M$4)</f>
        <v>1.3741209784081321</v>
      </c>
      <c r="N133" s="304">
        <f t="shared" ref="N133:N196" ca="1" si="75">DEGREES(Beta)</f>
        <v>78.731332603173286</v>
      </c>
      <c r="P133" s="310">
        <f t="shared" ref="P133:P196" ca="1" si="76">MATCH(t-pas/2-T_ini,CdP_t)</f>
        <v>12</v>
      </c>
      <c r="Q133" s="304">
        <f t="shared" ref="Q133:Q196" ca="1" si="77">(INDEX(CdP,2,i_P+1)-INDEX(CdP,2,i_P+0))/(INDEX(CdP,1,i_P+1)-INDEX(CdP,1,i_P+0))*(t-pas/2-T_ini-INDEX(CdP,1,i_P+0))+INDEX(CdP,2,i_P+0)</f>
        <v>1164.8479999999995</v>
      </c>
      <c r="R133" s="306">
        <f t="shared" ref="R133:R196" ca="1" si="78">Poussee/(g*ISP)</f>
        <v>0.57244328805071676</v>
      </c>
      <c r="S133" s="307">
        <f t="shared" ref="S133:S196" ca="1" si="79">S132-Débit*pas</f>
        <v>8.7255804596227975</v>
      </c>
      <c r="T133" s="304">
        <f t="shared" ca="1" si="59"/>
        <v>85.597944308899642</v>
      </c>
      <c r="U133" s="311">
        <f t="shared" ca="1" si="60"/>
        <v>0</v>
      </c>
      <c r="V133" s="306">
        <f t="shared" ca="1" si="61"/>
        <v>1.212368939383736</v>
      </c>
      <c r="W133" s="304">
        <f t="shared" ca="1" si="62"/>
        <v>99.375673918690055</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103.6450445574131</v>
      </c>
      <c r="AG133" s="306">
        <f t="shared" ref="AG133:AG196" ca="1" si="85">IF(AND(L132&lt;L_rampe,Poussee&lt;Poids*SIN(M132)),0,(-W132+Poussee)/m-Poids*SIN(M132)/m)</f>
        <v>112.64337325078296</v>
      </c>
      <c r="AH133" s="304">
        <f t="shared" ref="AH133:AH196" ca="1" si="86">IF(AND(L132&lt;L_rampe,Poussee&lt;Poids*SIN(M132)), g*SIN(M132), (-W132+Poussee)/m)</f>
        <v>122.26447854797156</v>
      </c>
    </row>
    <row r="134" spans="1:34" x14ac:dyDescent="0.3">
      <c r="A134" s="347">
        <f t="shared" ca="1" si="64"/>
        <v>0.01</v>
      </c>
      <c r="B134" s="304">
        <f t="shared" ca="1" si="65"/>
        <v>1.3000000000000009</v>
      </c>
      <c r="D134" s="306">
        <f t="shared" ca="1" si="66"/>
        <v>23.786117782334202</v>
      </c>
      <c r="E134" s="307">
        <f t="shared" ca="1" si="67"/>
        <v>109.56760562369851</v>
      </c>
      <c r="F134" s="304">
        <f t="shared" ca="1" si="68"/>
        <v>112.11975562435643</v>
      </c>
      <c r="G134" s="306">
        <f t="shared" ca="1" si="69"/>
        <v>32.018731288075443</v>
      </c>
      <c r="H134" s="307">
        <f t="shared" ca="1" si="70"/>
        <v>160.59729011186855</v>
      </c>
      <c r="I134" s="304">
        <f t="shared" ca="1" si="71"/>
        <v>163.75801887105757</v>
      </c>
      <c r="J134" s="306">
        <f t="shared" ca="1" si="72"/>
        <v>20.234743966904663</v>
      </c>
      <c r="K134" s="307">
        <f t="shared" ca="1" si="73"/>
        <v>105.2455390782506</v>
      </c>
      <c r="L134" s="304">
        <f t="shared" ca="1" si="58"/>
        <v>107.17307665303707</v>
      </c>
      <c r="M134" s="306">
        <f t="shared" ca="1" si="74"/>
        <v>1.3740039172264364</v>
      </c>
      <c r="N134" s="304">
        <f t="shared" ca="1" si="75"/>
        <v>78.724625491517315</v>
      </c>
      <c r="P134" s="310">
        <f t="shared" ca="1" si="76"/>
        <v>12</v>
      </c>
      <c r="Q134" s="304">
        <f t="shared" ca="1" si="77"/>
        <v>1160.7959999999996</v>
      </c>
      <c r="R134" s="306">
        <f t="shared" ca="1" si="78"/>
        <v>0.5704520066104074</v>
      </c>
      <c r="S134" s="307">
        <f t="shared" ca="1" si="79"/>
        <v>8.7198759395566938</v>
      </c>
      <c r="T134" s="304">
        <f t="shared" ca="1" si="59"/>
        <v>85.541982967051169</v>
      </c>
      <c r="U134" s="311">
        <f t="shared" ca="1" si="60"/>
        <v>0</v>
      </c>
      <c r="V134" s="306">
        <f t="shared" ca="1" si="61"/>
        <v>1.2121749106351114</v>
      </c>
      <c r="W134" s="304">
        <f t="shared" ca="1" si="62"/>
        <v>100.73423745125299</v>
      </c>
      <c r="Y134" s="314" t="str">
        <f t="shared" ca="1" si="80"/>
        <v/>
      </c>
      <c r="Z134" s="315" t="str">
        <f t="shared" ca="1" si="81"/>
        <v/>
      </c>
      <c r="AA134" s="316" t="str">
        <f t="shared" ca="1" si="82"/>
        <v/>
      </c>
      <c r="AC134" s="310" t="e">
        <f t="shared" ca="1" si="83"/>
        <v>#N/A</v>
      </c>
      <c r="AD134" s="323" t="e">
        <f t="shared" ca="1" si="84"/>
        <v>#N/A</v>
      </c>
      <c r="AE134" s="324">
        <f t="shared" ca="1" si="63"/>
        <v>105.2455390782506</v>
      </c>
      <c r="AG134" s="306">
        <f t="shared" ca="1" si="85"/>
        <v>112.10336669583302</v>
      </c>
      <c r="AH134" s="304">
        <f t="shared" ca="1" si="86"/>
        <v>121.72424624372242</v>
      </c>
    </row>
    <row r="135" spans="1:34" x14ac:dyDescent="0.3">
      <c r="A135" s="347">
        <f t="shared" ca="1" si="64"/>
        <v>0.01</v>
      </c>
      <c r="B135" s="304">
        <f t="shared" ca="1" si="65"/>
        <v>1.3100000000000009</v>
      </c>
      <c r="D135" s="306">
        <f t="shared" ca="1" si="66"/>
        <v>23.687831047665224</v>
      </c>
      <c r="E135" s="307">
        <f t="shared" ca="1" si="67"/>
        <v>109.00174930561958</v>
      </c>
      <c r="F135" s="304">
        <f t="shared" ca="1" si="68"/>
        <v>111.5459308600178</v>
      </c>
      <c r="G135" s="306">
        <f t="shared" ca="1" si="69"/>
        <v>32.255609598552098</v>
      </c>
      <c r="H135" s="307">
        <f t="shared" ca="1" si="70"/>
        <v>161.68730760492474</v>
      </c>
      <c r="I135" s="304">
        <f t="shared" ca="1" si="71"/>
        <v>164.87331436925675</v>
      </c>
      <c r="J135" s="306">
        <f t="shared" ca="1" si="72"/>
        <v>20.5561156713378</v>
      </c>
      <c r="K135" s="307">
        <f t="shared" ca="1" si="73"/>
        <v>106.85696206683457</v>
      </c>
      <c r="L135" s="304">
        <f t="shared" ca="1" si="58"/>
        <v>108.81619472140321</v>
      </c>
      <c r="M135" s="306">
        <f t="shared" ca="1" si="74"/>
        <v>1.373887579604075</v>
      </c>
      <c r="N135" s="304">
        <f t="shared" ca="1" si="75"/>
        <v>78.717959836757416</v>
      </c>
      <c r="P135" s="310">
        <f t="shared" ca="1" si="76"/>
        <v>13</v>
      </c>
      <c r="Q135" s="304">
        <f t="shared" ca="1" si="77"/>
        <v>1156.4594999999995</v>
      </c>
      <c r="R135" s="306">
        <f t="shared" ca="1" si="78"/>
        <v>0.56832091283797359</v>
      </c>
      <c r="S135" s="307">
        <f t="shared" ca="1" si="79"/>
        <v>8.714192730428314</v>
      </c>
      <c r="T135" s="304">
        <f t="shared" ca="1" si="59"/>
        <v>85.486230685501766</v>
      </c>
      <c r="U135" s="311">
        <f t="shared" ca="1" si="60"/>
        <v>0</v>
      </c>
      <c r="V135" s="306">
        <f t="shared" ca="1" si="61"/>
        <v>1.2119795882291473</v>
      </c>
      <c r="W135" s="304">
        <f t="shared" ca="1" si="62"/>
        <v>102.09458394685865</v>
      </c>
      <c r="Y135" s="314" t="str">
        <f t="shared" ca="1" si="80"/>
        <v/>
      </c>
      <c r="Z135" s="315" t="str">
        <f t="shared" ca="1" si="81"/>
        <v/>
      </c>
      <c r="AA135" s="316" t="str">
        <f t="shared" ca="1" si="82"/>
        <v/>
      </c>
      <c r="AC135" s="310" t="e">
        <f t="shared" ca="1" si="83"/>
        <v>#N/A</v>
      </c>
      <c r="AD135" s="323" t="e">
        <f t="shared" ca="1" si="84"/>
        <v>#N/A</v>
      </c>
      <c r="AE135" s="324">
        <f t="shared" ca="1" si="63"/>
        <v>106.85696206683457</v>
      </c>
      <c r="AG135" s="306">
        <f t="shared" ca="1" si="85"/>
        <v>111.52943824649681</v>
      </c>
      <c r="AH135" s="304">
        <f t="shared" ca="1" si="86"/>
        <v>121.15009332561047</v>
      </c>
    </row>
    <row r="136" spans="1:34" x14ac:dyDescent="0.3">
      <c r="A136" s="347">
        <f t="shared" ca="1" si="64"/>
        <v>0.01</v>
      </c>
      <c r="B136" s="304">
        <f t="shared" ca="1" si="65"/>
        <v>1.320000000000001</v>
      </c>
      <c r="D136" s="306">
        <f t="shared" ca="1" si="66"/>
        <v>23.582687081766075</v>
      </c>
      <c r="E136" s="307">
        <f t="shared" ca="1" si="67"/>
        <v>108.40265286244527</v>
      </c>
      <c r="F136" s="304">
        <f t="shared" ca="1" si="68"/>
        <v>110.93817322099868</v>
      </c>
      <c r="G136" s="306">
        <f t="shared" ca="1" si="69"/>
        <v>32.491436469369759</v>
      </c>
      <c r="H136" s="307">
        <f t="shared" ca="1" si="70"/>
        <v>162.7713341335492</v>
      </c>
      <c r="I136" s="304">
        <f t="shared" ca="1" si="71"/>
        <v>165.98253118764819</v>
      </c>
      <c r="J136" s="306">
        <f t="shared" ca="1" si="72"/>
        <v>20.879850901677408</v>
      </c>
      <c r="K136" s="307">
        <f t="shared" ca="1" si="73"/>
        <v>108.47925527552694</v>
      </c>
      <c r="L136" s="304">
        <f t="shared" ca="1" si="58"/>
        <v>110.47043495347168</v>
      </c>
      <c r="M136" s="306">
        <f t="shared" ca="1" si="74"/>
        <v>1.3737719520042408</v>
      </c>
      <c r="N136" s="304">
        <f t="shared" ca="1" si="75"/>
        <v>78.711334863291697</v>
      </c>
      <c r="P136" s="310">
        <f t="shared" ca="1" si="76"/>
        <v>13</v>
      </c>
      <c r="Q136" s="304">
        <f t="shared" ca="1" si="77"/>
        <v>1151.8384999999994</v>
      </c>
      <c r="R136" s="306">
        <f t="shared" ca="1" si="78"/>
        <v>0.56605000673341543</v>
      </c>
      <c r="S136" s="307">
        <f t="shared" ca="1" si="79"/>
        <v>8.70853223036098</v>
      </c>
      <c r="T136" s="304">
        <f t="shared" ca="1" si="59"/>
        <v>85.430701179841222</v>
      </c>
      <c r="U136" s="311">
        <f t="shared" ca="1" si="60"/>
        <v>0</v>
      </c>
      <c r="V136" s="306">
        <f t="shared" ca="1" si="61"/>
        <v>1.2117829798538686</v>
      </c>
      <c r="W136" s="304">
        <f t="shared" ca="1" si="62"/>
        <v>103.45614122492155</v>
      </c>
      <c r="Y136" s="314" t="str">
        <f t="shared" ca="1" si="80"/>
        <v/>
      </c>
      <c r="Z136" s="315" t="str">
        <f t="shared" ca="1" si="81"/>
        <v/>
      </c>
      <c r="AA136" s="316" t="str">
        <f t="shared" ca="1" si="82"/>
        <v/>
      </c>
      <c r="AC136" s="310" t="e">
        <f t="shared" ca="1" si="83"/>
        <v>#N/A</v>
      </c>
      <c r="AD136" s="323" t="e">
        <f t="shared" ca="1" si="84"/>
        <v>#N/A</v>
      </c>
      <c r="AE136" s="324">
        <f t="shared" ca="1" si="63"/>
        <v>108.47925527552694</v>
      </c>
      <c r="AG136" s="306">
        <f t="shared" ca="1" si="85"/>
        <v>110.92157088196693</v>
      </c>
      <c r="AH136" s="304">
        <f t="shared" ca="1" si="86"/>
        <v>120.54200274913921</v>
      </c>
    </row>
    <row r="137" spans="1:34" x14ac:dyDescent="0.3">
      <c r="A137" s="347">
        <f t="shared" ca="1" si="64"/>
        <v>0.01</v>
      </c>
      <c r="B137" s="304">
        <f t="shared" ca="1" si="65"/>
        <v>1.330000000000001</v>
      </c>
      <c r="D137" s="306">
        <f t="shared" ca="1" si="66"/>
        <v>23.477077195503032</v>
      </c>
      <c r="E137" s="307">
        <f t="shared" ca="1" si="67"/>
        <v>107.80238011963084</v>
      </c>
      <c r="F137" s="304">
        <f t="shared" ca="1" si="68"/>
        <v>110.32917253882124</v>
      </c>
      <c r="G137" s="306">
        <f t="shared" ca="1" si="69"/>
        <v>32.726207241324786</v>
      </c>
      <c r="H137" s="307">
        <f t="shared" ca="1" si="70"/>
        <v>163.84935793474551</v>
      </c>
      <c r="I137" s="304">
        <f t="shared" ca="1" si="71"/>
        <v>167.08565688302059</v>
      </c>
      <c r="J137" s="306">
        <f t="shared" ca="1" si="72"/>
        <v>21.20593912023088</v>
      </c>
      <c r="K137" s="307">
        <f t="shared" ca="1" si="73"/>
        <v>110.11235873586841</v>
      </c>
      <c r="L137" s="304">
        <f t="shared" ca="1" si="58"/>
        <v>112.13573649977742</v>
      </c>
      <c r="M137" s="306">
        <f t="shared" ca="1" si="74"/>
        <v>1.3736570212208361</v>
      </c>
      <c r="N137" s="304">
        <f t="shared" ca="1" si="75"/>
        <v>78.704749814466467</v>
      </c>
      <c r="P137" s="310">
        <f t="shared" ca="1" si="76"/>
        <v>13</v>
      </c>
      <c r="Q137" s="304">
        <f t="shared" ca="1" si="77"/>
        <v>1147.2174999999995</v>
      </c>
      <c r="R137" s="306">
        <f t="shared" ca="1" si="78"/>
        <v>0.56377910062885728</v>
      </c>
      <c r="S137" s="307">
        <f t="shared" ca="1" si="79"/>
        <v>8.7028944393546919</v>
      </c>
      <c r="T137" s="304">
        <f t="shared" ca="1" si="59"/>
        <v>85.375394450069535</v>
      </c>
      <c r="U137" s="311">
        <f t="shared" ca="1" si="60"/>
        <v>0</v>
      </c>
      <c r="V137" s="306">
        <f t="shared" ca="1" si="61"/>
        <v>1.211585093405225</v>
      </c>
      <c r="W137" s="304">
        <f t="shared" ca="1" si="62"/>
        <v>104.81873721728347</v>
      </c>
      <c r="Y137" s="314" t="str">
        <f t="shared" ca="1" si="80"/>
        <v/>
      </c>
      <c r="Z137" s="315" t="str">
        <f t="shared" ca="1" si="81"/>
        <v/>
      </c>
      <c r="AA137" s="316" t="str">
        <f t="shared" ca="1" si="82"/>
        <v/>
      </c>
      <c r="AC137" s="310" t="e">
        <f t="shared" ca="1" si="83"/>
        <v>#N/A</v>
      </c>
      <c r="AD137" s="323" t="e">
        <f t="shared" ca="1" si="84"/>
        <v>#N/A</v>
      </c>
      <c r="AE137" s="324">
        <f t="shared" ca="1" si="63"/>
        <v>110.11235873586841</v>
      </c>
      <c r="AG137" s="306">
        <f t="shared" ca="1" si="85"/>
        <v>110.31245918480754</v>
      </c>
      <c r="AH137" s="304">
        <f t="shared" ca="1" si="86"/>
        <v>119.93266907331022</v>
      </c>
    </row>
    <row r="138" spans="1:34" x14ac:dyDescent="0.3">
      <c r="A138" s="347">
        <f t="shared" ca="1" si="64"/>
        <v>0.01</v>
      </c>
      <c r="B138" s="304">
        <f t="shared" ca="1" si="65"/>
        <v>1.340000000000001</v>
      </c>
      <c r="D138" s="306">
        <f t="shared" ca="1" si="66"/>
        <v>23.371008130876888</v>
      </c>
      <c r="E138" s="307">
        <f t="shared" ca="1" si="67"/>
        <v>107.20095236286484</v>
      </c>
      <c r="F138" s="304">
        <f t="shared" ca="1" si="68"/>
        <v>109.71895100008354</v>
      </c>
      <c r="G138" s="306">
        <f t="shared" ca="1" si="69"/>
        <v>32.959917322633558</v>
      </c>
      <c r="H138" s="307">
        <f t="shared" ca="1" si="70"/>
        <v>164.92136745837416</v>
      </c>
      <c r="I138" s="304">
        <f t="shared" ca="1" si="71"/>
        <v>168.18267923378707</v>
      </c>
      <c r="J138" s="306">
        <f t="shared" ca="1" si="72"/>
        <v>21.534369743050672</v>
      </c>
      <c r="K138" s="307">
        <f t="shared" ca="1" si="73"/>
        <v>111.75621236283401</v>
      </c>
      <c r="L138" s="304">
        <f t="shared" ca="1" si="58"/>
        <v>113.81203838749778</v>
      </c>
      <c r="M138" s="306">
        <f t="shared" ca="1" si="74"/>
        <v>1.3735427743674498</v>
      </c>
      <c r="N138" s="304">
        <f t="shared" ca="1" si="75"/>
        <v>78.698203951944777</v>
      </c>
      <c r="P138" s="310">
        <f t="shared" ca="1" si="76"/>
        <v>13</v>
      </c>
      <c r="Q138" s="304">
        <f t="shared" ca="1" si="77"/>
        <v>1142.5964999999994</v>
      </c>
      <c r="R138" s="306">
        <f t="shared" ca="1" si="78"/>
        <v>0.56150819452429912</v>
      </c>
      <c r="S138" s="307">
        <f t="shared" ca="1" si="79"/>
        <v>8.6972793574094496</v>
      </c>
      <c r="T138" s="304">
        <f t="shared" ca="1" si="59"/>
        <v>85.320310496186707</v>
      </c>
      <c r="U138" s="311">
        <f t="shared" ca="1" si="60"/>
        <v>0</v>
      </c>
      <c r="V138" s="306">
        <f t="shared" ca="1" si="61"/>
        <v>1.2113859367924997</v>
      </c>
      <c r="W138" s="304">
        <f t="shared" ca="1" si="62"/>
        <v>106.18220069402017</v>
      </c>
      <c r="Y138" s="314" t="str">
        <f t="shared" ca="1" si="80"/>
        <v/>
      </c>
      <c r="Z138" s="315" t="str">
        <f t="shared" ca="1" si="81"/>
        <v/>
      </c>
      <c r="AA138" s="316" t="str">
        <f t="shared" ca="1" si="82"/>
        <v/>
      </c>
      <c r="AC138" s="310" t="e">
        <f t="shared" ca="1" si="83"/>
        <v>#N/A</v>
      </c>
      <c r="AD138" s="323" t="e">
        <f t="shared" ca="1" si="84"/>
        <v>#N/A</v>
      </c>
      <c r="AE138" s="324">
        <f t="shared" ca="1" si="63"/>
        <v>111.75621236283401</v>
      </c>
      <c r="AG138" s="306">
        <f t="shared" ca="1" si="85"/>
        <v>109.70212531774223</v>
      </c>
      <c r="AH138" s="304">
        <f t="shared" ca="1" si="86"/>
        <v>119.32211443784483</v>
      </c>
    </row>
    <row r="139" spans="1:34" x14ac:dyDescent="0.3">
      <c r="A139" s="347">
        <f t="shared" ca="1" si="64"/>
        <v>0.01</v>
      </c>
      <c r="B139" s="304">
        <f t="shared" ca="1" si="65"/>
        <v>1.350000000000001</v>
      </c>
      <c r="D139" s="306">
        <f t="shared" ca="1" si="66"/>
        <v>23.264486571918383</v>
      </c>
      <c r="E139" s="307">
        <f t="shared" ca="1" si="67"/>
        <v>106.59839086762598</v>
      </c>
      <c r="F139" s="304">
        <f t="shared" ca="1" si="68"/>
        <v>109.10753077135482</v>
      </c>
      <c r="G139" s="306">
        <f t="shared" ca="1" si="69"/>
        <v>33.192562188352738</v>
      </c>
      <c r="H139" s="307">
        <f t="shared" ca="1" si="70"/>
        <v>165.98735136705042</v>
      </c>
      <c r="I139" s="304">
        <f t="shared" ca="1" si="71"/>
        <v>169.27358623978023</v>
      </c>
      <c r="J139" s="306">
        <f t="shared" ca="1" si="72"/>
        <v>21.865132140605603</v>
      </c>
      <c r="K139" s="307">
        <f t="shared" ca="1" si="73"/>
        <v>113.41075595696113</v>
      </c>
      <c r="L139" s="304">
        <f t="shared" ca="1" si="58"/>
        <v>115.49927952266862</v>
      </c>
      <c r="M139" s="306">
        <f t="shared" ca="1" si="74"/>
        <v>1.3734291988667908</v>
      </c>
      <c r="N139" s="304">
        <f t="shared" ca="1" si="75"/>
        <v>78.691696555100947</v>
      </c>
      <c r="P139" s="310">
        <f t="shared" ca="1" si="76"/>
        <v>13</v>
      </c>
      <c r="Q139" s="304">
        <f t="shared" ca="1" si="77"/>
        <v>1137.9754999999996</v>
      </c>
      <c r="R139" s="306">
        <f t="shared" ca="1" si="78"/>
        <v>0.55923728841974096</v>
      </c>
      <c r="S139" s="307">
        <f t="shared" ca="1" si="79"/>
        <v>8.6916869845252513</v>
      </c>
      <c r="T139" s="304">
        <f t="shared" ca="1" si="59"/>
        <v>85.265449318192722</v>
      </c>
      <c r="U139" s="311">
        <f t="shared" ca="1" si="60"/>
        <v>0</v>
      </c>
      <c r="V139" s="306">
        <f t="shared" ca="1" si="61"/>
        <v>1.2111855179379629</v>
      </c>
      <c r="W139" s="304">
        <f t="shared" ca="1" si="62"/>
        <v>107.54636127927533</v>
      </c>
      <c r="Y139" s="314" t="str">
        <f t="shared" ca="1" si="80"/>
        <v/>
      </c>
      <c r="Z139" s="315" t="str">
        <f t="shared" ca="1" si="81"/>
        <v/>
      </c>
      <c r="AA139" s="316" t="str">
        <f t="shared" ca="1" si="82"/>
        <v/>
      </c>
      <c r="AC139" s="310" t="e">
        <f t="shared" ca="1" si="83"/>
        <v>#N/A</v>
      </c>
      <c r="AD139" s="323" t="e">
        <f t="shared" ca="1" si="84"/>
        <v>#N/A</v>
      </c>
      <c r="AE139" s="324">
        <f t="shared" ca="1" si="63"/>
        <v>113.41075595696113</v>
      </c>
      <c r="AG139" s="306">
        <f t="shared" ca="1" si="85"/>
        <v>109.09059142297953</v>
      </c>
      <c r="AH139" s="304">
        <f t="shared" ca="1" si="86"/>
        <v>118.71036096249122</v>
      </c>
    </row>
    <row r="140" spans="1:34" x14ac:dyDescent="0.3">
      <c r="A140" s="347">
        <f t="shared" ca="1" si="64"/>
        <v>0.01</v>
      </c>
      <c r="B140" s="304">
        <f t="shared" ca="1" si="65"/>
        <v>1.360000000000001</v>
      </c>
      <c r="D140" s="306">
        <f t="shared" ca="1" si="66"/>
        <v>23.15751914608056</v>
      </c>
      <c r="E140" s="307">
        <f t="shared" ca="1" si="67"/>
        <v>105.99471689644014</v>
      </c>
      <c r="F140" s="304">
        <f t="shared" ca="1" si="68"/>
        <v>108.49493399674282</v>
      </c>
      <c r="G140" s="306">
        <f t="shared" ca="1" si="69"/>
        <v>33.424137379813544</v>
      </c>
      <c r="H140" s="307">
        <f t="shared" ca="1" si="70"/>
        <v>167.04729853601484</v>
      </c>
      <c r="I140" s="304">
        <f t="shared" ca="1" si="71"/>
        <v>170.35836612202266</v>
      </c>
      <c r="J140" s="306">
        <f t="shared" ca="1" si="72"/>
        <v>22.198215638446435</v>
      </c>
      <c r="K140" s="307">
        <f t="shared" ca="1" si="73"/>
        <v>115.07592920647645</v>
      </c>
      <c r="L140" s="304">
        <f t="shared" ca="1" si="58"/>
        <v>117.19739869239824</v>
      </c>
      <c r="M140" s="306">
        <f t="shared" ca="1" si="74"/>
        <v>1.3733162824405516</v>
      </c>
      <c r="N140" s="304">
        <f t="shared" ca="1" si="75"/>
        <v>78.685226920439732</v>
      </c>
      <c r="P140" s="310">
        <f t="shared" ca="1" si="76"/>
        <v>13</v>
      </c>
      <c r="Q140" s="304">
        <f t="shared" ca="1" si="77"/>
        <v>1133.3544999999995</v>
      </c>
      <c r="R140" s="306">
        <f t="shared" ca="1" si="78"/>
        <v>0.55696638231518281</v>
      </c>
      <c r="S140" s="307">
        <f t="shared" ca="1" si="79"/>
        <v>8.686117320702099</v>
      </c>
      <c r="T140" s="304">
        <f t="shared" ca="1" si="59"/>
        <v>85.210810916087596</v>
      </c>
      <c r="U140" s="311">
        <f t="shared" ca="1" si="60"/>
        <v>0</v>
      </c>
      <c r="V140" s="306">
        <f t="shared" ca="1" si="61"/>
        <v>1.2109838447765189</v>
      </c>
      <c r="W140" s="304">
        <f t="shared" ca="1" si="62"/>
        <v>108.91104946686183</v>
      </c>
      <c r="Y140" s="314" t="str">
        <f t="shared" ca="1" si="80"/>
        <v/>
      </c>
      <c r="Z140" s="315" t="str">
        <f t="shared" ca="1" si="81"/>
        <v/>
      </c>
      <c r="AA140" s="316" t="str">
        <f t="shared" ca="1" si="82"/>
        <v/>
      </c>
      <c r="AC140" s="310" t="e">
        <f t="shared" ca="1" si="83"/>
        <v>#N/A</v>
      </c>
      <c r="AD140" s="323" t="e">
        <f t="shared" ca="1" si="84"/>
        <v>#N/A</v>
      </c>
      <c r="AE140" s="324">
        <f t="shared" ca="1" si="63"/>
        <v>115.07592920647645</v>
      </c>
      <c r="AG140" s="306">
        <f t="shared" ca="1" si="85"/>
        <v>108.47787961976442</v>
      </c>
      <c r="AH140" s="304">
        <f t="shared" ca="1" si="86"/>
        <v>118.09743074455827</v>
      </c>
    </row>
    <row r="141" spans="1:34" x14ac:dyDescent="0.3">
      <c r="A141" s="347">
        <f t="shared" ca="1" si="64"/>
        <v>0.01</v>
      </c>
      <c r="B141" s="304">
        <f t="shared" ca="1" si="65"/>
        <v>1.370000000000001</v>
      </c>
      <c r="D141" s="306">
        <f t="shared" ca="1" si="66"/>
        <v>23.050112425556531</v>
      </c>
      <c r="E141" s="307">
        <f t="shared" ca="1" si="67"/>
        <v>105.38995169616933</v>
      </c>
      <c r="F141" s="304">
        <f t="shared" ca="1" si="68"/>
        <v>107.88118279547967</v>
      </c>
      <c r="G141" s="306">
        <f t="shared" ca="1" si="69"/>
        <v>33.654638504069112</v>
      </c>
      <c r="H141" s="307">
        <f t="shared" ca="1" si="70"/>
        <v>168.10119805297654</v>
      </c>
      <c r="I141" s="304">
        <f t="shared" ca="1" si="71"/>
        <v>171.43700732247288</v>
      </c>
      <c r="J141" s="306">
        <f t="shared" ca="1" si="72"/>
        <v>22.533609517865848</v>
      </c>
      <c r="K141" s="307">
        <f t="shared" ca="1" si="73"/>
        <v>116.7516716894214</v>
      </c>
      <c r="L141" s="304">
        <f t="shared" ca="1" si="58"/>
        <v>118.90633456707887</v>
      </c>
      <c r="M141" s="306">
        <f t="shared" ca="1" si="74"/>
        <v>1.3732040130996821</v>
      </c>
      <c r="N141" s="304">
        <f t="shared" ca="1" si="75"/>
        <v>78.678794361039195</v>
      </c>
      <c r="P141" s="310">
        <f t="shared" ca="1" si="76"/>
        <v>13</v>
      </c>
      <c r="Q141" s="304">
        <f t="shared" ca="1" si="77"/>
        <v>1128.7334999999994</v>
      </c>
      <c r="R141" s="306">
        <f t="shared" ca="1" si="78"/>
        <v>0.55469547621062465</v>
      </c>
      <c r="S141" s="307">
        <f t="shared" ca="1" si="79"/>
        <v>8.6805703659399924</v>
      </c>
      <c r="T141" s="304">
        <f t="shared" ca="1" si="59"/>
        <v>85.156395289871327</v>
      </c>
      <c r="U141" s="311">
        <f t="shared" ca="1" si="60"/>
        <v>0</v>
      </c>
      <c r="V141" s="306">
        <f t="shared" ca="1" si="61"/>
        <v>1.2107809252553616</v>
      </c>
      <c r="W141" s="304">
        <f t="shared" ca="1" si="62"/>
        <v>110.27609663562988</v>
      </c>
      <c r="Y141" s="314" t="str">
        <f t="shared" ca="1" si="80"/>
        <v/>
      </c>
      <c r="Z141" s="315" t="str">
        <f t="shared" ca="1" si="81"/>
        <v/>
      </c>
      <c r="AA141" s="316" t="str">
        <f t="shared" ca="1" si="82"/>
        <v/>
      </c>
      <c r="AC141" s="310" t="e">
        <f t="shared" ca="1" si="83"/>
        <v>#N/A</v>
      </c>
      <c r="AD141" s="323" t="e">
        <f t="shared" ca="1" si="84"/>
        <v>#N/A</v>
      </c>
      <c r="AE141" s="324">
        <f t="shared" ca="1" si="63"/>
        <v>116.7516716894214</v>
      </c>
      <c r="AG141" s="306">
        <f t="shared" ca="1" si="85"/>
        <v>107.86401200194815</v>
      </c>
      <c r="AH141" s="304">
        <f t="shared" ca="1" si="86"/>
        <v>117.48334585646828</v>
      </c>
    </row>
    <row r="142" spans="1:34" x14ac:dyDescent="0.3">
      <c r="A142" s="347">
        <f t="shared" ca="1" si="64"/>
        <v>0.01</v>
      </c>
      <c r="B142" s="304">
        <f t="shared" ca="1" si="65"/>
        <v>1.380000000000001</v>
      </c>
      <c r="D142" s="306">
        <f t="shared" ca="1" si="66"/>
        <v>22.942272928525782</v>
      </c>
      <c r="E142" s="307">
        <f t="shared" ca="1" si="67"/>
        <v>104.78411649533113</v>
      </c>
      <c r="F142" s="304">
        <f t="shared" ca="1" si="68"/>
        <v>107.26629925952555</v>
      </c>
      <c r="G142" s="306">
        <f t="shared" ca="1" si="69"/>
        <v>33.884061233354373</v>
      </c>
      <c r="H142" s="307">
        <f t="shared" ca="1" si="70"/>
        <v>169.14903921792984</v>
      </c>
      <c r="I142" s="304">
        <f t="shared" ca="1" si="71"/>
        <v>172.50949850374755</v>
      </c>
      <c r="J142" s="306">
        <f t="shared" ca="1" si="72"/>
        <v>22.871303016552964</v>
      </c>
      <c r="K142" s="307">
        <f t="shared" ca="1" si="73"/>
        <v>118.43792287577593</v>
      </c>
      <c r="L142" s="304">
        <f t="shared" ca="1" si="58"/>
        <v>120.6260257025955</v>
      </c>
      <c r="M142" s="306">
        <f t="shared" ca="1" si="74"/>
        <v>1.3730923791350558</v>
      </c>
      <c r="N142" s="304">
        <f t="shared" ca="1" si="75"/>
        <v>78.672398206015799</v>
      </c>
      <c r="P142" s="310">
        <f t="shared" ca="1" si="76"/>
        <v>13</v>
      </c>
      <c r="Q142" s="304">
        <f t="shared" ca="1" si="77"/>
        <v>1124.1124999999995</v>
      </c>
      <c r="R142" s="306">
        <f t="shared" ca="1" si="78"/>
        <v>0.55242457010606649</v>
      </c>
      <c r="S142" s="307">
        <f t="shared" ca="1" si="79"/>
        <v>8.6750461202389317</v>
      </c>
      <c r="T142" s="304">
        <f t="shared" ca="1" si="59"/>
        <v>85.10220243954393</v>
      </c>
      <c r="U142" s="311">
        <f t="shared" ca="1" si="60"/>
        <v>0</v>
      </c>
      <c r="V142" s="306">
        <f t="shared" ca="1" si="61"/>
        <v>1.2105767673336256</v>
      </c>
      <c r="W142" s="304">
        <f t="shared" ca="1" si="62"/>
        <v>111.64133506459967</v>
      </c>
      <c r="Y142" s="314" t="str">
        <f t="shared" ca="1" si="80"/>
        <v/>
      </c>
      <c r="Z142" s="315" t="str">
        <f t="shared" ca="1" si="81"/>
        <v/>
      </c>
      <c r="AA142" s="316" t="str">
        <f t="shared" ca="1" si="82"/>
        <v/>
      </c>
      <c r="AC142" s="310" t="e">
        <f t="shared" ca="1" si="83"/>
        <v>#N/A</v>
      </c>
      <c r="AD142" s="323" t="e">
        <f t="shared" ca="1" si="84"/>
        <v>#N/A</v>
      </c>
      <c r="AE142" s="324">
        <f t="shared" ca="1" si="63"/>
        <v>118.43792287577593</v>
      </c>
      <c r="AG142" s="306">
        <f t="shared" ca="1" si="85"/>
        <v>107.24901063557506</v>
      </c>
      <c r="AH142" s="304">
        <f t="shared" ca="1" si="86"/>
        <v>116.8681283433276</v>
      </c>
    </row>
    <row r="143" spans="1:34" x14ac:dyDescent="0.3">
      <c r="A143" s="347">
        <f t="shared" ca="1" si="64"/>
        <v>0.01</v>
      </c>
      <c r="B143" s="304">
        <f t="shared" ca="1" si="65"/>
        <v>1.390000000000001</v>
      </c>
      <c r="D143" s="306">
        <f t="shared" ca="1" si="66"/>
        <v>22.834007120333034</v>
      </c>
      <c r="E143" s="307">
        <f t="shared" ca="1" si="67"/>
        <v>104.17723250144901</v>
      </c>
      <c r="F143" s="304">
        <f t="shared" ca="1" si="68"/>
        <v>106.6503054511912</v>
      </c>
      <c r="G143" s="306">
        <f t="shared" ca="1" si="69"/>
        <v>34.1124013045577</v>
      </c>
      <c r="H143" s="307">
        <f t="shared" ca="1" si="70"/>
        <v>170.19081154294432</v>
      </c>
      <c r="I143" s="304">
        <f t="shared" ca="1" si="71"/>
        <v>173.57582854881949</v>
      </c>
      <c r="J143" s="306">
        <f t="shared" ca="1" si="72"/>
        <v>23.211285329242525</v>
      </c>
      <c r="K143" s="307">
        <f t="shared" ca="1" si="73"/>
        <v>120.13462212958029</v>
      </c>
      <c r="L143" s="304">
        <f t="shared" ca="1" si="58"/>
        <v>122.35641054253166</v>
      </c>
      <c r="M143" s="306">
        <f t="shared" ca="1" si="74"/>
        <v>1.3729813691085055</v>
      </c>
      <c r="N143" s="304">
        <f t="shared" ca="1" si="75"/>
        <v>78.666037800010827</v>
      </c>
      <c r="P143" s="310">
        <f t="shared" ca="1" si="76"/>
        <v>13</v>
      </c>
      <c r="Q143" s="304">
        <f t="shared" ca="1" si="77"/>
        <v>1119.4914999999994</v>
      </c>
      <c r="R143" s="306">
        <f t="shared" ca="1" si="78"/>
        <v>0.55015366400150834</v>
      </c>
      <c r="S143" s="307">
        <f t="shared" ca="1" si="79"/>
        <v>8.6695445835989169</v>
      </c>
      <c r="T143" s="304">
        <f t="shared" ca="1" si="59"/>
        <v>85.048232365105378</v>
      </c>
      <c r="U143" s="311">
        <f t="shared" ca="1" si="60"/>
        <v>0</v>
      </c>
      <c r="V143" s="306">
        <f t="shared" ca="1" si="61"/>
        <v>1.2103713789820401</v>
      </c>
      <c r="W143" s="304">
        <f t="shared" ca="1" si="62"/>
        <v>113.00659794785746</v>
      </c>
      <c r="Y143" s="314" t="str">
        <f t="shared" ca="1" si="80"/>
        <v/>
      </c>
      <c r="Z143" s="315" t="str">
        <f t="shared" ca="1" si="81"/>
        <v/>
      </c>
      <c r="AA143" s="316" t="str">
        <f t="shared" ca="1" si="82"/>
        <v/>
      </c>
      <c r="AC143" s="310" t="e">
        <f t="shared" ca="1" si="83"/>
        <v>#N/A</v>
      </c>
      <c r="AD143" s="323" t="e">
        <f t="shared" ca="1" si="84"/>
        <v>#N/A</v>
      </c>
      <c r="AE143" s="324">
        <f t="shared" ca="1" si="63"/>
        <v>120.13462212958029</v>
      </c>
      <c r="AG143" s="306">
        <f t="shared" ca="1" si="85"/>
        <v>106.63289755648786</v>
      </c>
      <c r="AH143" s="304">
        <f t="shared" ca="1" si="86"/>
        <v>116.25180022051622</v>
      </c>
    </row>
    <row r="144" spans="1:34" x14ac:dyDescent="0.3">
      <c r="A144" s="347">
        <f t="shared" ca="1" si="64"/>
        <v>0.01</v>
      </c>
      <c r="B144" s="304">
        <f t="shared" ca="1" si="65"/>
        <v>1.400000000000001</v>
      </c>
      <c r="D144" s="306">
        <f t="shared" ca="1" si="66"/>
        <v>22.725321414603265</v>
      </c>
      <c r="E144" s="307">
        <f t="shared" ca="1" si="67"/>
        <v>103.56932089843322</v>
      </c>
      <c r="F144" s="304">
        <f t="shared" ca="1" si="68"/>
        <v>106.03322340077973</v>
      </c>
      <c r="G144" s="306">
        <f t="shared" ca="1" si="69"/>
        <v>34.339654518703732</v>
      </c>
      <c r="H144" s="307">
        <f t="shared" ca="1" si="70"/>
        <v>171.22650475192864</v>
      </c>
      <c r="I144" s="304">
        <f t="shared" ca="1" si="71"/>
        <v>174.63598656069192</v>
      </c>
      <c r="J144" s="306">
        <f t="shared" ca="1" si="72"/>
        <v>23.553545608358831</v>
      </c>
      <c r="K144" s="307">
        <f t="shared" ca="1" si="73"/>
        <v>121.84170871105466</v>
      </c>
      <c r="L144" s="304">
        <f t="shared" ca="1" si="58"/>
        <v>124.09742742037216</v>
      </c>
      <c r="M144" s="306">
        <f t="shared" ca="1" si="74"/>
        <v>1.3728709718442154</v>
      </c>
      <c r="N144" s="304">
        <f t="shared" ca="1" si="75"/>
        <v>78.659712502697218</v>
      </c>
      <c r="P144" s="310">
        <f t="shared" ca="1" si="76"/>
        <v>13</v>
      </c>
      <c r="Q144" s="304">
        <f t="shared" ca="1" si="77"/>
        <v>1114.8704999999993</v>
      </c>
      <c r="R144" s="306">
        <f t="shared" ca="1" si="78"/>
        <v>0.54788275789695007</v>
      </c>
      <c r="S144" s="307">
        <f t="shared" ca="1" si="79"/>
        <v>8.6640657560199479</v>
      </c>
      <c r="T144" s="304">
        <f t="shared" ca="1" si="59"/>
        <v>84.994485066555697</v>
      </c>
      <c r="U144" s="311">
        <f t="shared" ca="1" si="60"/>
        <v>0</v>
      </c>
      <c r="V144" s="306">
        <f t="shared" ca="1" si="61"/>
        <v>1.210164768182584</v>
      </c>
      <c r="W144" s="304">
        <f t="shared" ca="1" si="62"/>
        <v>114.37171940921337</v>
      </c>
      <c r="Y144" s="314" t="str">
        <f t="shared" ca="1" si="80"/>
        <v/>
      </c>
      <c r="Z144" s="315" t="str">
        <f t="shared" ca="1" si="81"/>
        <v/>
      </c>
      <c r="AA144" s="316" t="str">
        <f t="shared" ca="1" si="82"/>
        <v/>
      </c>
      <c r="AC144" s="310" t="e">
        <f t="shared" ca="1" si="83"/>
        <v>#N/A</v>
      </c>
      <c r="AD144" s="323" t="e">
        <f t="shared" ca="1" si="84"/>
        <v>#N/A</v>
      </c>
      <c r="AE144" s="324">
        <f t="shared" ca="1" si="63"/>
        <v>121.84170871105466</v>
      </c>
      <c r="AG144" s="306">
        <f t="shared" ca="1" si="85"/>
        <v>106.01569476795179</v>
      </c>
      <c r="AH144" s="304">
        <f t="shared" ca="1" si="86"/>
        <v>115.63438347129681</v>
      </c>
    </row>
    <row r="145" spans="1:34" x14ac:dyDescent="0.3">
      <c r="A145" s="347">
        <f t="shared" ca="1" si="64"/>
        <v>0.01</v>
      </c>
      <c r="B145" s="304">
        <f t="shared" ca="1" si="65"/>
        <v>1.410000000000001</v>
      </c>
      <c r="D145" s="306">
        <f t="shared" ca="1" si="66"/>
        <v>22.539393176310831</v>
      </c>
      <c r="E145" s="307">
        <f t="shared" ca="1" si="67"/>
        <v>102.57731335247159</v>
      </c>
      <c r="F145" s="304">
        <f t="shared" ca="1" si="68"/>
        <v>105.02442315655665</v>
      </c>
      <c r="G145" s="306">
        <f t="shared" ca="1" si="69"/>
        <v>34.56504845046684</v>
      </c>
      <c r="H145" s="307">
        <f t="shared" ca="1" si="70"/>
        <v>172.25227788545337</v>
      </c>
      <c r="I145" s="304">
        <f t="shared" ca="1" si="71"/>
        <v>175.68605468593847</v>
      </c>
      <c r="J145" s="306">
        <f t="shared" ca="1" si="72"/>
        <v>23.898069123204685</v>
      </c>
      <c r="K145" s="307">
        <f t="shared" ca="1" si="73"/>
        <v>123.55910262424158</v>
      </c>
      <c r="L145" s="304">
        <f t="shared" ca="1" si="58"/>
        <v>125.84899502628271</v>
      </c>
      <c r="M145" s="306">
        <f t="shared" ca="1" si="74"/>
        <v>1.3727611739786496</v>
      </c>
      <c r="N145" s="304">
        <f t="shared" ca="1" si="75"/>
        <v>78.653421548400758</v>
      </c>
      <c r="P145" s="310">
        <f t="shared" ca="1" si="76"/>
        <v>14</v>
      </c>
      <c r="Q145" s="304">
        <f t="shared" ca="1" si="77"/>
        <v>1106.868333333332</v>
      </c>
      <c r="R145" s="306">
        <f t="shared" ca="1" si="78"/>
        <v>0.54395023914927065</v>
      </c>
      <c r="S145" s="307">
        <f t="shared" ca="1" si="79"/>
        <v>8.6586262536284551</v>
      </c>
      <c r="T145" s="304">
        <f t="shared" ca="1" si="59"/>
        <v>84.941123548095149</v>
      </c>
      <c r="U145" s="311">
        <f t="shared" ca="1" si="60"/>
        <v>0</v>
      </c>
      <c r="V145" s="306">
        <f t="shared" ca="1" si="61"/>
        <v>1.2099569452458383</v>
      </c>
      <c r="W145" s="304">
        <f t="shared" ca="1" si="62"/>
        <v>115.73138705667671</v>
      </c>
      <c r="Y145" s="314" t="str">
        <f t="shared" ca="1" si="80"/>
        <v/>
      </c>
      <c r="Z145" s="315" t="str">
        <f t="shared" ca="1" si="81"/>
        <v/>
      </c>
      <c r="AA145" s="316" t="str">
        <f t="shared" ca="1" si="82"/>
        <v/>
      </c>
      <c r="AC145" s="310" t="e">
        <f t="shared" ca="1" si="83"/>
        <v>#N/A</v>
      </c>
      <c r="AD145" s="323" t="e">
        <f t="shared" ca="1" si="84"/>
        <v>#N/A</v>
      </c>
      <c r="AE145" s="324">
        <f t="shared" ca="1" si="63"/>
        <v>123.55910262424158</v>
      </c>
      <c r="AG145" s="306">
        <f t="shared" ca="1" si="85"/>
        <v>105.00670662486699</v>
      </c>
      <c r="AH145" s="304">
        <f t="shared" ca="1" si="86"/>
        <v>114.6251824310128</v>
      </c>
    </row>
    <row r="146" spans="1:34" x14ac:dyDescent="0.3">
      <c r="A146" s="347">
        <f t="shared" ca="1" si="64"/>
        <v>0.01</v>
      </c>
      <c r="B146" s="304">
        <f t="shared" ca="1" si="65"/>
        <v>1.420000000000001</v>
      </c>
      <c r="D146" s="306">
        <f t="shared" ca="1" si="66"/>
        <v>22.276033851064721</v>
      </c>
      <c r="E146" s="307">
        <f t="shared" ca="1" si="67"/>
        <v>101.20091261590703</v>
      </c>
      <c r="F146" s="304">
        <f t="shared" ca="1" si="68"/>
        <v>103.62358032043784</v>
      </c>
      <c r="G146" s="306">
        <f t="shared" ca="1" si="69"/>
        <v>34.787808788977486</v>
      </c>
      <c r="H146" s="307">
        <f t="shared" ca="1" si="70"/>
        <v>173.26428701161242</v>
      </c>
      <c r="I146" s="304">
        <f t="shared" ca="1" si="71"/>
        <v>176.72211178565308</v>
      </c>
      <c r="J146" s="306">
        <f t="shared" ca="1" si="72"/>
        <v>24.244833409401906</v>
      </c>
      <c r="K146" s="307">
        <f t="shared" ca="1" si="73"/>
        <v>125.2866854487269</v>
      </c>
      <c r="L146" s="304">
        <f t="shared" ca="1" si="58"/>
        <v>127.61099285632837</v>
      </c>
      <c r="M146" s="306">
        <f t="shared" ca="1" si="74"/>
        <v>1.3726519600586504</v>
      </c>
      <c r="N146" s="304">
        <f t="shared" ca="1" si="75"/>
        <v>78.647164051720722</v>
      </c>
      <c r="P146" s="310">
        <f t="shared" ca="1" si="76"/>
        <v>14</v>
      </c>
      <c r="Q146" s="304">
        <f t="shared" ca="1" si="77"/>
        <v>1095.4849999999985</v>
      </c>
      <c r="R146" s="306">
        <f t="shared" ca="1" si="78"/>
        <v>0.53835610775847054</v>
      </c>
      <c r="S146" s="307">
        <f t="shared" ca="1" si="79"/>
        <v>8.6532426925508705</v>
      </c>
      <c r="T146" s="304">
        <f t="shared" ca="1" si="59"/>
        <v>84.888310813924051</v>
      </c>
      <c r="U146" s="311">
        <f t="shared" ca="1" si="60"/>
        <v>0</v>
      </c>
      <c r="V146" s="306">
        <f t="shared" ca="1" si="61"/>
        <v>1.2097479251278784</v>
      </c>
      <c r="W146" s="304">
        <f t="shared" ca="1" si="62"/>
        <v>117.08016673633611</v>
      </c>
      <c r="Y146" s="314" t="str">
        <f t="shared" ca="1" si="80"/>
        <v/>
      </c>
      <c r="Z146" s="315" t="str">
        <f t="shared" ca="1" si="81"/>
        <v/>
      </c>
      <c r="AA146" s="316" t="str">
        <f t="shared" ca="1" si="82"/>
        <v/>
      </c>
      <c r="AC146" s="310" t="e">
        <f t="shared" ca="1" si="83"/>
        <v>#N/A</v>
      </c>
      <c r="AD146" s="323" t="e">
        <f t="shared" ca="1" si="84"/>
        <v>#N/A</v>
      </c>
      <c r="AE146" s="324">
        <f t="shared" ca="1" si="63"/>
        <v>125.2866854487269</v>
      </c>
      <c r="AG146" s="306">
        <f t="shared" ca="1" si="85"/>
        <v>103.60560457721887</v>
      </c>
      <c r="AH146" s="304">
        <f t="shared" ca="1" si="86"/>
        <v>113.22386852581185</v>
      </c>
    </row>
    <row r="147" spans="1:34" x14ac:dyDescent="0.3">
      <c r="A147" s="347">
        <f t="shared" ca="1" si="64"/>
        <v>0.01</v>
      </c>
      <c r="B147" s="304">
        <f t="shared" ca="1" si="65"/>
        <v>1.430000000000001</v>
      </c>
      <c r="D147" s="306">
        <f t="shared" ca="1" si="66"/>
        <v>22.012070529130565</v>
      </c>
      <c r="E147" s="307">
        <f t="shared" ca="1" si="67"/>
        <v>99.823398556783204</v>
      </c>
      <c r="F147" s="304">
        <f t="shared" ca="1" si="68"/>
        <v>102.2215346607837</v>
      </c>
      <c r="G147" s="306">
        <f t="shared" ca="1" si="69"/>
        <v>35.007929494268794</v>
      </c>
      <c r="H147" s="307">
        <f t="shared" ca="1" si="70"/>
        <v>174.26252099718025</v>
      </c>
      <c r="I147" s="304">
        <f t="shared" ca="1" si="71"/>
        <v>177.7441457594831</v>
      </c>
      <c r="J147" s="306">
        <f t="shared" ca="1" si="72"/>
        <v>24.593812100818138</v>
      </c>
      <c r="K147" s="307">
        <f t="shared" ca="1" si="73"/>
        <v>127.02431948877086</v>
      </c>
      <c r="L147" s="304">
        <f t="shared" ca="1" si="58"/>
        <v>129.38328074073434</v>
      </c>
      <c r="M147" s="306">
        <f t="shared" ca="1" si="74"/>
        <v>1.3725433150235988</v>
      </c>
      <c r="N147" s="304">
        <f t="shared" ca="1" si="75"/>
        <v>78.640939149747211</v>
      </c>
      <c r="P147" s="310">
        <f t="shared" ca="1" si="76"/>
        <v>14</v>
      </c>
      <c r="Q147" s="304">
        <f t="shared" ca="1" si="77"/>
        <v>1084.1016666666653</v>
      </c>
      <c r="R147" s="306">
        <f t="shared" ca="1" si="78"/>
        <v>0.53276197636767053</v>
      </c>
      <c r="S147" s="307">
        <f t="shared" ca="1" si="79"/>
        <v>8.6479150727871943</v>
      </c>
      <c r="T147" s="304">
        <f t="shared" ca="1" si="59"/>
        <v>84.836046864042373</v>
      </c>
      <c r="U147" s="311">
        <f t="shared" ca="1" si="60"/>
        <v>0</v>
      </c>
      <c r="V147" s="306">
        <f t="shared" ca="1" si="61"/>
        <v>1.2095377251099089</v>
      </c>
      <c r="W147" s="304">
        <f t="shared" ca="1" si="62"/>
        <v>118.4177188305641</v>
      </c>
      <c r="Y147" s="314" t="str">
        <f t="shared" ca="1" si="80"/>
        <v/>
      </c>
      <c r="Z147" s="315" t="str">
        <f t="shared" ca="1" si="81"/>
        <v/>
      </c>
      <c r="AA147" s="316" t="str">
        <f t="shared" ca="1" si="82"/>
        <v/>
      </c>
      <c r="AC147" s="310" t="e">
        <f t="shared" ca="1" si="83"/>
        <v>#N/A</v>
      </c>
      <c r="AD147" s="323" t="e">
        <f t="shared" ca="1" si="84"/>
        <v>#N/A</v>
      </c>
      <c r="AE147" s="324">
        <f t="shared" ca="1" si="63"/>
        <v>127.02431948877086</v>
      </c>
      <c r="AG147" s="306">
        <f t="shared" ca="1" si="85"/>
        <v>102.20329248068802</v>
      </c>
      <c r="AH147" s="304">
        <f t="shared" ca="1" si="86"/>
        <v>111.82134558343454</v>
      </c>
    </row>
    <row r="148" spans="1:34" x14ac:dyDescent="0.3">
      <c r="A148" s="347">
        <f t="shared" ca="1" si="64"/>
        <v>0.01</v>
      </c>
      <c r="B148" s="304">
        <f t="shared" ca="1" si="65"/>
        <v>1.4400000000000011</v>
      </c>
      <c r="D148" s="306">
        <f t="shared" ca="1" si="66"/>
        <v>21.747519538577937</v>
      </c>
      <c r="E148" s="307">
        <f t="shared" ca="1" si="67"/>
        <v>98.444833547024146</v>
      </c>
      <c r="F148" s="304">
        <f t="shared" ca="1" si="68"/>
        <v>100.81835080074519</v>
      </c>
      <c r="G148" s="306">
        <f t="shared" ca="1" si="69"/>
        <v>35.225404689654574</v>
      </c>
      <c r="H148" s="307">
        <f t="shared" ca="1" si="70"/>
        <v>175.24696933265048</v>
      </c>
      <c r="I148" s="304">
        <f t="shared" ca="1" si="71"/>
        <v>178.75214515028588</v>
      </c>
      <c r="J148" s="306">
        <f t="shared" ca="1" si="72"/>
        <v>24.944978771737755</v>
      </c>
      <c r="K148" s="307">
        <f t="shared" ca="1" si="73"/>
        <v>128.77186694042001</v>
      </c>
      <c r="L148" s="304">
        <f t="shared" ca="1" si="58"/>
        <v>131.16571839182555</v>
      </c>
      <c r="M148" s="306">
        <f t="shared" ca="1" si="74"/>
        <v>1.3724352241900437</v>
      </c>
      <c r="N148" s="304">
        <f t="shared" ca="1" si="75"/>
        <v>78.634746001180446</v>
      </c>
      <c r="P148" s="310">
        <f t="shared" ca="1" si="76"/>
        <v>14</v>
      </c>
      <c r="Q148" s="304">
        <f t="shared" ca="1" si="77"/>
        <v>1072.7183333333319</v>
      </c>
      <c r="R148" s="306">
        <f t="shared" ca="1" si="78"/>
        <v>0.52716784497687041</v>
      </c>
      <c r="S148" s="307">
        <f t="shared" ca="1" si="79"/>
        <v>8.6426433943374263</v>
      </c>
      <c r="T148" s="304">
        <f t="shared" ca="1" si="59"/>
        <v>84.78433169845016</v>
      </c>
      <c r="U148" s="311">
        <f t="shared" ca="1" si="60"/>
        <v>0</v>
      </c>
      <c r="V148" s="306">
        <f t="shared" ca="1" si="61"/>
        <v>1.2093263624780708</v>
      </c>
      <c r="W148" s="304">
        <f t="shared" ca="1" si="62"/>
        <v>119.7437090100286</v>
      </c>
      <c r="Y148" s="314" t="str">
        <f t="shared" ca="1" si="80"/>
        <v/>
      </c>
      <c r="Z148" s="315" t="str">
        <f t="shared" ca="1" si="81"/>
        <v/>
      </c>
      <c r="AA148" s="316" t="str">
        <f t="shared" ca="1" si="82"/>
        <v/>
      </c>
      <c r="AC148" s="310" t="e">
        <f t="shared" ca="1" si="83"/>
        <v>#N/A</v>
      </c>
      <c r="AD148" s="323" t="e">
        <f t="shared" ca="1" si="84"/>
        <v>#N/A</v>
      </c>
      <c r="AE148" s="324">
        <f t="shared" ca="1" si="63"/>
        <v>128.77186694042001</v>
      </c>
      <c r="AG148" s="306">
        <f t="shared" ca="1" si="85"/>
        <v>100.79983465659703</v>
      </c>
      <c r="AH148" s="304">
        <f t="shared" ca="1" si="86"/>
        <v>110.41767789794683</v>
      </c>
    </row>
    <row r="149" spans="1:34" x14ac:dyDescent="0.3">
      <c r="A149" s="347">
        <f t="shared" ca="1" si="64"/>
        <v>0.01</v>
      </c>
      <c r="B149" s="304">
        <f t="shared" ca="1" si="65"/>
        <v>1.4500000000000011</v>
      </c>
      <c r="D149" s="306">
        <f t="shared" ca="1" si="66"/>
        <v>21.482397034458948</v>
      </c>
      <c r="E149" s="307">
        <f t="shared" ca="1" si="67"/>
        <v>97.065279573305176</v>
      </c>
      <c r="F149" s="304">
        <f t="shared" ca="1" si="68"/>
        <v>99.414092969709415</v>
      </c>
      <c r="G149" s="306">
        <f t="shared" ca="1" si="69"/>
        <v>35.440228659999164</v>
      </c>
      <c r="H149" s="307">
        <f t="shared" ca="1" si="70"/>
        <v>176.21762212838354</v>
      </c>
      <c r="I149" s="304">
        <f t="shared" ca="1" si="71"/>
        <v>179.74609914002249</v>
      </c>
      <c r="J149" s="306">
        <f t="shared" ca="1" si="72"/>
        <v>25.298306938486025</v>
      </c>
      <c r="K149" s="307">
        <f t="shared" ca="1" si="73"/>
        <v>130.52918989772519</v>
      </c>
      <c r="L149" s="304">
        <f t="shared" ca="1" si="58"/>
        <v>132.95816541044124</v>
      </c>
      <c r="M149" s="306">
        <f t="shared" ca="1" si="74"/>
        <v>1.3723276732370315</v>
      </c>
      <c r="N149" s="304">
        <f t="shared" ca="1" si="75"/>
        <v>78.62858378549025</v>
      </c>
      <c r="P149" s="310">
        <f t="shared" ca="1" si="76"/>
        <v>14</v>
      </c>
      <c r="Q149" s="304">
        <f t="shared" ca="1" si="77"/>
        <v>1061.3349999999984</v>
      </c>
      <c r="R149" s="306">
        <f t="shared" ca="1" si="78"/>
        <v>0.5215737135860703</v>
      </c>
      <c r="S149" s="307">
        <f t="shared" ca="1" si="79"/>
        <v>8.6374276572015649</v>
      </c>
      <c r="T149" s="304">
        <f t="shared" ca="1" si="59"/>
        <v>84.733165317147353</v>
      </c>
      <c r="U149" s="311">
        <f t="shared" ca="1" si="60"/>
        <v>0</v>
      </c>
      <c r="V149" s="306">
        <f t="shared" ca="1" si="61"/>
        <v>1.2091138545225173</v>
      </c>
      <c r="W149" s="304">
        <f t="shared" ca="1" si="62"/>
        <v>121.05780826223142</v>
      </c>
      <c r="Y149" s="314" t="str">
        <f t="shared" ca="1" si="80"/>
        <v/>
      </c>
      <c r="Z149" s="315" t="str">
        <f t="shared" ca="1" si="81"/>
        <v/>
      </c>
      <c r="AA149" s="316" t="str">
        <f t="shared" ca="1" si="82"/>
        <v/>
      </c>
      <c r="AC149" s="310" t="e">
        <f t="shared" ca="1" si="83"/>
        <v>#N/A</v>
      </c>
      <c r="AD149" s="323" t="e">
        <f t="shared" ca="1" si="84"/>
        <v>#N/A</v>
      </c>
      <c r="AE149" s="324">
        <f t="shared" ca="1" si="63"/>
        <v>130.52918989772519</v>
      </c>
      <c r="AG149" s="306">
        <f t="shared" ca="1" si="85"/>
        <v>99.395295015637984</v>
      </c>
      <c r="AH149" s="304">
        <f t="shared" ca="1" si="86"/>
        <v>109.0129293534408</v>
      </c>
    </row>
    <row r="150" spans="1:34" x14ac:dyDescent="0.3">
      <c r="A150" s="347">
        <f t="shared" ca="1" si="64"/>
        <v>0.01</v>
      </c>
      <c r="B150" s="304">
        <f t="shared" ca="1" si="65"/>
        <v>1.4600000000000011</v>
      </c>
      <c r="D150" s="306">
        <f t="shared" ca="1" si="66"/>
        <v>21.21671900051977</v>
      </c>
      <c r="E150" s="307">
        <f t="shared" ca="1" si="67"/>
        <v>95.684798227912324</v>
      </c>
      <c r="F150" s="304">
        <f t="shared" ca="1" si="68"/>
        <v>98.008824995830409</v>
      </c>
      <c r="G150" s="306">
        <f t="shared" ca="1" si="69"/>
        <v>35.652395850004361</v>
      </c>
      <c r="H150" s="307">
        <f t="shared" ca="1" si="70"/>
        <v>177.17447011066267</v>
      </c>
      <c r="I150" s="304">
        <f t="shared" ca="1" si="71"/>
        <v>180.72599754556484</v>
      </c>
      <c r="J150" s="306">
        <f t="shared" ca="1" si="72"/>
        <v>25.653770061036042</v>
      </c>
      <c r="K150" s="307">
        <f t="shared" ca="1" si="73"/>
        <v>132.29615035892041</v>
      </c>
      <c r="L150" s="304">
        <f t="shared" ca="1" si="58"/>
        <v>134.76048129230836</v>
      </c>
      <c r="M150" s="306">
        <f t="shared" ca="1" si="74"/>
        <v>1.3722206481920982</v>
      </c>
      <c r="N150" s="304">
        <f t="shared" ca="1" si="75"/>
        <v>78.622451702113366</v>
      </c>
      <c r="P150" s="310">
        <f t="shared" ca="1" si="76"/>
        <v>14</v>
      </c>
      <c r="Q150" s="304">
        <f t="shared" ca="1" si="77"/>
        <v>1049.9516666666652</v>
      </c>
      <c r="R150" s="306">
        <f t="shared" ca="1" si="78"/>
        <v>0.51597958219527029</v>
      </c>
      <c r="S150" s="307">
        <f t="shared" ca="1" si="79"/>
        <v>8.6322678613796118</v>
      </c>
      <c r="T150" s="304">
        <f t="shared" ca="1" si="59"/>
        <v>84.682547720133996</v>
      </c>
      <c r="U150" s="311">
        <f t="shared" ca="1" si="60"/>
        <v>0</v>
      </c>
      <c r="V150" s="306">
        <f t="shared" ca="1" si="61"/>
        <v>1.2089002185364943</v>
      </c>
      <c r="W150" s="304">
        <f t="shared" ca="1" si="62"/>
        <v>122.35969291853741</v>
      </c>
      <c r="Y150" s="314" t="str">
        <f t="shared" ca="1" si="80"/>
        <v/>
      </c>
      <c r="Z150" s="315" t="str">
        <f t="shared" ca="1" si="81"/>
        <v/>
      </c>
      <c r="AA150" s="316" t="str">
        <f t="shared" ca="1" si="82"/>
        <v/>
      </c>
      <c r="AC150" s="310" t="e">
        <f t="shared" ca="1" si="83"/>
        <v>#N/A</v>
      </c>
      <c r="AD150" s="323" t="e">
        <f t="shared" ca="1" si="84"/>
        <v>#N/A</v>
      </c>
      <c r="AE150" s="324">
        <f t="shared" ca="1" si="63"/>
        <v>132.29615035892041</v>
      </c>
      <c r="AG150" s="306">
        <f t="shared" ca="1" si="85"/>
        <v>97.989737049200045</v>
      </c>
      <c r="AH150" s="304">
        <f t="shared" ca="1" si="86"/>
        <v>107.60716341533657</v>
      </c>
    </row>
    <row r="151" spans="1:34" x14ac:dyDescent="0.3">
      <c r="A151" s="347">
        <f t="shared" ca="1" si="64"/>
        <v>0.01</v>
      </c>
      <c r="B151" s="304">
        <f t="shared" ca="1" si="65"/>
        <v>1.4700000000000011</v>
      </c>
      <c r="D151" s="306">
        <f t="shared" ca="1" si="66"/>
        <v>20.950501250779485</v>
      </c>
      <c r="E151" s="307">
        <f t="shared" ca="1" si="67"/>
        <v>94.303450699812558</v>
      </c>
      <c r="F151" s="304">
        <f t="shared" ca="1" si="68"/>
        <v>96.60261029884694</v>
      </c>
      <c r="G151" s="306">
        <f t="shared" ca="1" si="69"/>
        <v>35.861900862512158</v>
      </c>
      <c r="H151" s="307">
        <f t="shared" ca="1" si="70"/>
        <v>178.11750461766079</v>
      </c>
      <c r="I151" s="304">
        <f t="shared" ca="1" si="71"/>
        <v>181.69183081441793</v>
      </c>
      <c r="J151" s="306">
        <f t="shared" ca="1" si="72"/>
        <v>26.011341544598626</v>
      </c>
      <c r="K151" s="307">
        <f t="shared" ca="1" si="73"/>
        <v>134.07261023256203</v>
      </c>
      <c r="L151" s="304">
        <f t="shared" ca="1" si="58"/>
        <v>136.57252543437227</v>
      </c>
      <c r="M151" s="306">
        <f t="shared" ca="1" si="74"/>
        <v>1.3721141354178861</v>
      </c>
      <c r="N151" s="304">
        <f t="shared" ca="1" si="75"/>
        <v>78.616348969686783</v>
      </c>
      <c r="P151" s="310">
        <f t="shared" ca="1" si="76"/>
        <v>14</v>
      </c>
      <c r="Q151" s="304">
        <f t="shared" ca="1" si="77"/>
        <v>1038.5683333333318</v>
      </c>
      <c r="R151" s="306">
        <f t="shared" ca="1" si="78"/>
        <v>0.51038545080447029</v>
      </c>
      <c r="S151" s="307">
        <f t="shared" ca="1" si="79"/>
        <v>8.6271640068715669</v>
      </c>
      <c r="T151" s="304">
        <f t="shared" ca="1" si="59"/>
        <v>84.632478907410075</v>
      </c>
      <c r="U151" s="311">
        <f t="shared" ca="1" si="60"/>
        <v>0</v>
      </c>
      <c r="V151" s="306">
        <f t="shared" ca="1" si="61"/>
        <v>1.2086854718154323</v>
      </c>
      <c r="W151" s="304">
        <f t="shared" ca="1" si="62"/>
        <v>123.64904467970406</v>
      </c>
      <c r="Y151" s="314" t="str">
        <f t="shared" ca="1" si="80"/>
        <v/>
      </c>
      <c r="Z151" s="315" t="str">
        <f t="shared" ca="1" si="81"/>
        <v/>
      </c>
      <c r="AA151" s="316" t="str">
        <f t="shared" ca="1" si="82"/>
        <v/>
      </c>
      <c r="AC151" s="310" t="e">
        <f t="shared" ca="1" si="83"/>
        <v>#N/A</v>
      </c>
      <c r="AD151" s="323" t="e">
        <f t="shared" ca="1" si="84"/>
        <v>#N/A</v>
      </c>
      <c r="AE151" s="324">
        <f t="shared" ca="1" si="63"/>
        <v>134.07261023256203</v>
      </c>
      <c r="AG151" s="306">
        <f t="shared" ca="1" si="85"/>
        <v>96.583223820879965</v>
      </c>
      <c r="AH151" s="304">
        <f t="shared" ca="1" si="86"/>
        <v>106.20044312186843</v>
      </c>
    </row>
    <row r="152" spans="1:34" x14ac:dyDescent="0.3">
      <c r="A152" s="347">
        <f t="shared" ca="1" si="64"/>
        <v>0.01</v>
      </c>
      <c r="B152" s="304">
        <f t="shared" ca="1" si="65"/>
        <v>1.4800000000000011</v>
      </c>
      <c r="D152" s="306">
        <f t="shared" ca="1" si="66"/>
        <v>20.683759430985507</v>
      </c>
      <c r="E152" s="307">
        <f t="shared" ca="1" si="67"/>
        <v>92.921297765934071</v>
      </c>
      <c r="F152" s="304">
        <f t="shared" ca="1" si="68"/>
        <v>95.195511883198918</v>
      </c>
      <c r="G152" s="306">
        <f t="shared" ca="1" si="69"/>
        <v>36.068738456822011</v>
      </c>
      <c r="H152" s="307">
        <f t="shared" ca="1" si="70"/>
        <v>179.04671759532013</v>
      </c>
      <c r="I152" s="304">
        <f t="shared" ca="1" si="71"/>
        <v>182.64359002035891</v>
      </c>
      <c r="J152" s="306">
        <f t="shared" ca="1" si="72"/>
        <v>26.370994741195297</v>
      </c>
      <c r="K152" s="307">
        <f t="shared" ca="1" si="73"/>
        <v>135.85843134362693</v>
      </c>
      <c r="L152" s="304">
        <f t="shared" ca="1" si="58"/>
        <v>138.39415714108432</v>
      </c>
      <c r="M152" s="306">
        <f t="shared" ca="1" si="74"/>
        <v>1.3720081215993529</v>
      </c>
      <c r="N152" s="304">
        <f t="shared" ca="1" si="75"/>
        <v>78.610274825314761</v>
      </c>
      <c r="P152" s="310">
        <f t="shared" ca="1" si="76"/>
        <v>14</v>
      </c>
      <c r="Q152" s="304">
        <f t="shared" ca="1" si="77"/>
        <v>1027.1849999999986</v>
      </c>
      <c r="R152" s="306">
        <f t="shared" ca="1" si="78"/>
        <v>0.50479131941367028</v>
      </c>
      <c r="S152" s="307">
        <f t="shared" ca="1" si="79"/>
        <v>8.6221160936774304</v>
      </c>
      <c r="T152" s="304">
        <f t="shared" ca="1" si="59"/>
        <v>84.582958878975603</v>
      </c>
      <c r="U152" s="311">
        <f t="shared" ca="1" si="60"/>
        <v>0</v>
      </c>
      <c r="V152" s="306">
        <f t="shared" ca="1" si="61"/>
        <v>1.208469631656043</v>
      </c>
      <c r="W152" s="304">
        <f t="shared" ca="1" si="62"/>
        <v>124.92555063991989</v>
      </c>
      <c r="Y152" s="314" t="str">
        <f t="shared" ca="1" si="80"/>
        <v/>
      </c>
      <c r="Z152" s="315" t="str">
        <f t="shared" ca="1" si="81"/>
        <v/>
      </c>
      <c r="AA152" s="316" t="str">
        <f t="shared" ca="1" si="82"/>
        <v/>
      </c>
      <c r="AC152" s="310" t="e">
        <f t="shared" ca="1" si="83"/>
        <v>#N/A</v>
      </c>
      <c r="AD152" s="323" t="e">
        <f t="shared" ca="1" si="84"/>
        <v>#N/A</v>
      </c>
      <c r="AE152" s="324">
        <f t="shared" ca="1" si="63"/>
        <v>135.85843134362693</v>
      </c>
      <c r="AG152" s="306">
        <f t="shared" ca="1" si="85"/>
        <v>95.175817958176538</v>
      </c>
      <c r="AH152" s="304">
        <f t="shared" ca="1" si="86"/>
        <v>104.79283107575581</v>
      </c>
    </row>
    <row r="153" spans="1:34" x14ac:dyDescent="0.3">
      <c r="A153" s="347">
        <f t="shared" ca="1" si="64"/>
        <v>0.01</v>
      </c>
      <c r="B153" s="304">
        <f t="shared" ca="1" si="65"/>
        <v>1.4900000000000011</v>
      </c>
      <c r="D153" s="306">
        <f t="shared" ca="1" si="66"/>
        <v>20.416509019954169</v>
      </c>
      <c r="E153" s="307">
        <f t="shared" ca="1" si="67"/>
        <v>91.538399782655532</v>
      </c>
      <c r="F153" s="304">
        <f t="shared" ca="1" si="68"/>
        <v>93.787592331454704</v>
      </c>
      <c r="G153" s="306">
        <f t="shared" ca="1" si="69"/>
        <v>36.272903547021549</v>
      </c>
      <c r="H153" s="307">
        <f t="shared" ca="1" si="70"/>
        <v>179.96210159314668</v>
      </c>
      <c r="I153" s="304">
        <f t="shared" ca="1" si="71"/>
        <v>183.58126685899512</v>
      </c>
      <c r="J153" s="306">
        <f t="shared" ca="1" si="72"/>
        <v>26.732702951214513</v>
      </c>
      <c r="K153" s="307">
        <f t="shared" ca="1" si="73"/>
        <v>137.65347543956926</v>
      </c>
      <c r="L153" s="304">
        <f t="shared" ca="1" si="58"/>
        <v>140.22523563064522</v>
      </c>
      <c r="M153" s="306">
        <f t="shared" ca="1" si="74"/>
        <v>1.3719025937315383</v>
      </c>
      <c r="N153" s="304">
        <f t="shared" ca="1" si="75"/>
        <v>78.604228523867974</v>
      </c>
      <c r="P153" s="310">
        <f t="shared" ca="1" si="76"/>
        <v>14</v>
      </c>
      <c r="Q153" s="304">
        <f t="shared" ca="1" si="77"/>
        <v>1015.8016666666653</v>
      </c>
      <c r="R153" s="306">
        <f t="shared" ca="1" si="78"/>
        <v>0.49919718802287016</v>
      </c>
      <c r="S153" s="307">
        <f t="shared" ca="1" si="79"/>
        <v>8.6171241217972021</v>
      </c>
      <c r="T153" s="304">
        <f t="shared" ca="1" si="59"/>
        <v>84.533987634830552</v>
      </c>
      <c r="U153" s="311">
        <f t="shared" ca="1" si="60"/>
        <v>0</v>
      </c>
      <c r="V153" s="306">
        <f t="shared" ca="1" si="61"/>
        <v>1.2082527153554279</v>
      </c>
      <c r="W153" s="304">
        <f t="shared" ca="1" si="62"/>
        <v>126.18890330936316</v>
      </c>
      <c r="Y153" s="314" t="str">
        <f t="shared" ca="1" si="80"/>
        <v/>
      </c>
      <c r="Z153" s="315" t="str">
        <f t="shared" ca="1" si="81"/>
        <v/>
      </c>
      <c r="AA153" s="316" t="str">
        <f t="shared" ca="1" si="82"/>
        <v/>
      </c>
      <c r="AC153" s="310" t="e">
        <f t="shared" ca="1" si="83"/>
        <v>#N/A</v>
      </c>
      <c r="AD153" s="323" t="e">
        <f t="shared" ca="1" si="84"/>
        <v>#N/A</v>
      </c>
      <c r="AE153" s="324">
        <f t="shared" ca="1" si="63"/>
        <v>137.65347543956926</v>
      </c>
      <c r="AG153" s="306">
        <f t="shared" ca="1" si="85"/>
        <v>93.767581644369272</v>
      </c>
      <c r="AH153" s="304">
        <f t="shared" ca="1" si="86"/>
        <v>103.38438943605965</v>
      </c>
    </row>
    <row r="154" spans="1:34" x14ac:dyDescent="0.3">
      <c r="A154" s="347">
        <f t="shared" ca="1" si="64"/>
        <v>0.01</v>
      </c>
      <c r="B154" s="304">
        <f t="shared" ca="1" si="65"/>
        <v>1.5000000000000011</v>
      </c>
      <c r="D154" s="306">
        <f t="shared" ca="1" si="66"/>
        <v>20.148765330804935</v>
      </c>
      <c r="E154" s="307">
        <f t="shared" ca="1" si="67"/>
        <v>90.154816677503916</v>
      </c>
      <c r="F154" s="304">
        <f t="shared" ca="1" si="68"/>
        <v>92.378913798064247</v>
      </c>
      <c r="G154" s="306">
        <f t="shared" ca="1" si="69"/>
        <v>36.474391200329599</v>
      </c>
      <c r="H154" s="307">
        <f t="shared" ca="1" si="70"/>
        <v>180.86364975992171</v>
      </c>
      <c r="I154" s="304">
        <f t="shared" ca="1" si="71"/>
        <v>184.50485364324246</v>
      </c>
      <c r="J154" s="306">
        <f t="shared" ca="1" si="72"/>
        <v>27.096439424951267</v>
      </c>
      <c r="K154" s="307">
        <f t="shared" ca="1" si="73"/>
        <v>139.45760419633461</v>
      </c>
      <c r="L154" s="304">
        <f t="shared" ca="1" si="58"/>
        <v>142.06562004120343</v>
      </c>
      <c r="M154" s="306">
        <f t="shared" ca="1" si="74"/>
        <v>1.3717975391078596</v>
      </c>
      <c r="N154" s="304">
        <f t="shared" ca="1" si="75"/>
        <v>78.598209337312852</v>
      </c>
      <c r="P154" s="310">
        <f t="shared" ca="1" si="76"/>
        <v>14</v>
      </c>
      <c r="Q154" s="304">
        <f t="shared" ca="1" si="77"/>
        <v>1004.4183333333319</v>
      </c>
      <c r="R154" s="306">
        <f t="shared" ca="1" si="78"/>
        <v>0.49360305663207016</v>
      </c>
      <c r="S154" s="307">
        <f t="shared" ca="1" si="79"/>
        <v>8.6121880912308821</v>
      </c>
      <c r="T154" s="304">
        <f t="shared" ca="1" si="59"/>
        <v>84.485565174974951</v>
      </c>
      <c r="U154" s="311">
        <f t="shared" ca="1" si="60"/>
        <v>0</v>
      </c>
      <c r="V154" s="306">
        <f t="shared" ca="1" si="61"/>
        <v>1.2080347402101919</v>
      </c>
      <c r="W154" s="304">
        <f t="shared" ca="1" si="62"/>
        <v>127.43880063529038</v>
      </c>
      <c r="Y154" s="314" t="str">
        <f t="shared" ca="1" si="80"/>
        <v/>
      </c>
      <c r="Z154" s="315" t="str">
        <f t="shared" ca="1" si="81"/>
        <v/>
      </c>
      <c r="AA154" s="316" t="str">
        <f t="shared" ca="1" si="82"/>
        <v/>
      </c>
      <c r="AC154" s="310" t="e">
        <f t="shared" ca="1" si="83"/>
        <v>#N/A</v>
      </c>
      <c r="AD154" s="323" t="e">
        <f t="shared" ca="1" si="84"/>
        <v>#N/A</v>
      </c>
      <c r="AE154" s="324">
        <f t="shared" ca="1" si="63"/>
        <v>139.45760419633461</v>
      </c>
      <c r="AG154" s="306">
        <f t="shared" ca="1" si="85"/>
        <v>92.358576610582745</v>
      </c>
      <c r="AH154" s="304">
        <f t="shared" ca="1" si="86"/>
        <v>101.97517991022528</v>
      </c>
    </row>
    <row r="155" spans="1:34" x14ac:dyDescent="0.3">
      <c r="A155" s="347">
        <f t="shared" ca="1" si="64"/>
        <v>0.01</v>
      </c>
      <c r="B155" s="304">
        <f t="shared" ca="1" si="65"/>
        <v>1.5100000000000011</v>
      </c>
      <c r="D155" s="306">
        <f t="shared" ca="1" si="66"/>
        <v>19.88054351209561</v>
      </c>
      <c r="E155" s="307">
        <f t="shared" ca="1" si="67"/>
        <v>88.770607941060121</v>
      </c>
      <c r="F155" s="304">
        <f t="shared" ca="1" si="68"/>
        <v>90.969538003453295</v>
      </c>
      <c r="G155" s="306">
        <f t="shared" ca="1" si="69"/>
        <v>36.673196635450552</v>
      </c>
      <c r="H155" s="307">
        <f t="shared" ca="1" si="70"/>
        <v>181.75135583933232</v>
      </c>
      <c r="I155" s="304">
        <f t="shared" ca="1" si="71"/>
        <v>185.41434329872655</v>
      </c>
      <c r="J155" s="306">
        <f t="shared" ca="1" si="72"/>
        <v>27.462177364130167</v>
      </c>
      <c r="K155" s="307">
        <f t="shared" ca="1" si="73"/>
        <v>141.27067922433088</v>
      </c>
      <c r="L155" s="304">
        <f t="shared" ca="1" si="58"/>
        <v>143.91516943700805</v>
      </c>
      <c r="M155" s="306">
        <f t="shared" ca="1" si="74"/>
        <v>1.3716929453089091</v>
      </c>
      <c r="N155" s="304">
        <f t="shared" ca="1" si="75"/>
        <v>78.592216554069736</v>
      </c>
      <c r="P155" s="310">
        <f t="shared" ca="1" si="76"/>
        <v>14</v>
      </c>
      <c r="Q155" s="304">
        <f t="shared" ca="1" si="77"/>
        <v>993.03499999999849</v>
      </c>
      <c r="R155" s="306">
        <f t="shared" ca="1" si="78"/>
        <v>0.48800892524127004</v>
      </c>
      <c r="S155" s="307">
        <f t="shared" ca="1" si="79"/>
        <v>8.6073080019784687</v>
      </c>
      <c r="T155" s="304">
        <f t="shared" ca="1" si="59"/>
        <v>84.437691499408785</v>
      </c>
      <c r="U155" s="311">
        <f t="shared" ca="1" si="60"/>
        <v>0</v>
      </c>
      <c r="V155" s="306">
        <f t="shared" ca="1" si="61"/>
        <v>1.2078157235155664</v>
      </c>
      <c r="W155" s="304">
        <f t="shared" ca="1" si="62"/>
        <v>128.67494602166678</v>
      </c>
      <c r="Y155" s="314" t="str">
        <f t="shared" ca="1" si="80"/>
        <v/>
      </c>
      <c r="Z155" s="315" t="str">
        <f t="shared" ca="1" si="81"/>
        <v/>
      </c>
      <c r="AA155" s="316" t="str">
        <f t="shared" ca="1" si="82"/>
        <v/>
      </c>
      <c r="AC155" s="310" t="e">
        <f t="shared" ca="1" si="83"/>
        <v>#N/A</v>
      </c>
      <c r="AD155" s="323" t="e">
        <f t="shared" ca="1" si="84"/>
        <v>#N/A</v>
      </c>
      <c r="AE155" s="324">
        <f t="shared" ca="1" si="63"/>
        <v>141.27067922433088</v>
      </c>
      <c r="AG155" s="306">
        <f t="shared" ca="1" si="85"/>
        <v>90.948864128036817</v>
      </c>
      <c r="AH155" s="304">
        <f t="shared" ca="1" si="86"/>
        <v>100.5652637463122</v>
      </c>
    </row>
    <row r="156" spans="1:34" x14ac:dyDescent="0.3">
      <c r="A156" s="347">
        <f t="shared" ca="1" si="64"/>
        <v>0.01</v>
      </c>
      <c r="B156" s="304">
        <f t="shared" ca="1" si="65"/>
        <v>1.5200000000000011</v>
      </c>
      <c r="D156" s="306">
        <f t="shared" ca="1" si="66"/>
        <v>19.611858548865722</v>
      </c>
      <c r="E156" s="307">
        <f t="shared" ca="1" si="67"/>
        <v>87.385832619071422</v>
      </c>
      <c r="F156" s="304">
        <f t="shared" ca="1" si="68"/>
        <v>89.559526228476017</v>
      </c>
      <c r="G156" s="306">
        <f t="shared" ca="1" si="69"/>
        <v>36.869315220939207</v>
      </c>
      <c r="H156" s="307">
        <f t="shared" ca="1" si="70"/>
        <v>182.62521416552303</v>
      </c>
      <c r="I156" s="304">
        <f t="shared" ca="1" si="71"/>
        <v>186.30972935910819</v>
      </c>
      <c r="J156" s="306">
        <f t="shared" ca="1" si="72"/>
        <v>27.829889923412114</v>
      </c>
      <c r="K156" s="307">
        <f t="shared" ca="1" si="73"/>
        <v>143.09256207435516</v>
      </c>
      <c r="L156" s="304">
        <f t="shared" ca="1" si="58"/>
        <v>145.77374281451517</v>
      </c>
      <c r="M156" s="306">
        <f t="shared" ca="1" si="74"/>
        <v>1.371588800191724</v>
      </c>
      <c r="N156" s="304">
        <f t="shared" ca="1" si="75"/>
        <v>78.586249478398145</v>
      </c>
      <c r="P156" s="310">
        <f t="shared" ca="1" si="76"/>
        <v>14</v>
      </c>
      <c r="Q156" s="304">
        <f t="shared" ca="1" si="77"/>
        <v>981.65166666666528</v>
      </c>
      <c r="R156" s="306">
        <f t="shared" ca="1" si="78"/>
        <v>0.48241479385047004</v>
      </c>
      <c r="S156" s="307">
        <f t="shared" ca="1" si="79"/>
        <v>8.6024838540399635</v>
      </c>
      <c r="T156" s="304">
        <f t="shared" ca="1" si="59"/>
        <v>84.390366608132041</v>
      </c>
      <c r="U156" s="311">
        <f t="shared" ca="1" si="60"/>
        <v>0</v>
      </c>
      <c r="V156" s="306">
        <f t="shared" ca="1" si="61"/>
        <v>1.2075956825645415</v>
      </c>
      <c r="W156" s="304">
        <f t="shared" ca="1" si="62"/>
        <v>129.89704834735002</v>
      </c>
      <c r="Y156" s="314" t="str">
        <f t="shared" ca="1" si="80"/>
        <v/>
      </c>
      <c r="Z156" s="315" t="str">
        <f t="shared" ca="1" si="81"/>
        <v/>
      </c>
      <c r="AA156" s="316" t="str">
        <f t="shared" ca="1" si="82"/>
        <v/>
      </c>
      <c r="AC156" s="310" t="e">
        <f t="shared" ca="1" si="83"/>
        <v>#N/A</v>
      </c>
      <c r="AD156" s="323" t="e">
        <f t="shared" ca="1" si="84"/>
        <v>#N/A</v>
      </c>
      <c r="AE156" s="324">
        <f t="shared" ca="1" si="63"/>
        <v>143.09256207435516</v>
      </c>
      <c r="AG156" s="306">
        <f t="shared" ca="1" si="85"/>
        <v>89.538505000483426</v>
      </c>
      <c r="AH156" s="304">
        <f t="shared" ca="1" si="86"/>
        <v>99.154701725411215</v>
      </c>
    </row>
    <row r="157" spans="1:34" x14ac:dyDescent="0.3">
      <c r="A157" s="347">
        <f t="shared" ca="1" si="64"/>
        <v>0.01</v>
      </c>
      <c r="B157" s="304">
        <f t="shared" ca="1" si="65"/>
        <v>1.5300000000000011</v>
      </c>
      <c r="D157" s="306">
        <f t="shared" ca="1" si="66"/>
        <v>19.342725263594982</v>
      </c>
      <c r="E157" s="307">
        <f t="shared" ca="1" si="67"/>
        <v>86.000549304770075</v>
      </c>
      <c r="F157" s="304">
        <f t="shared" ca="1" si="68"/>
        <v>88.148939309245833</v>
      </c>
      <c r="G157" s="306">
        <f t="shared" ca="1" si="69"/>
        <v>37.062742473575156</v>
      </c>
      <c r="H157" s="307">
        <f t="shared" ca="1" si="70"/>
        <v>183.48521965857074</v>
      </c>
      <c r="I157" s="304">
        <f t="shared" ca="1" si="71"/>
        <v>187.19100596133487</v>
      </c>
      <c r="J157" s="306">
        <f t="shared" ca="1" si="72"/>
        <v>28.199550211884688</v>
      </c>
      <c r="K157" s="307">
        <f t="shared" ca="1" si="73"/>
        <v>144.92311424347562</v>
      </c>
      <c r="L157" s="304">
        <f t="shared" ca="1" si="58"/>
        <v>147.64119910844701</v>
      </c>
      <c r="M157" s="306">
        <f t="shared" ca="1" si="74"/>
        <v>1.3714850918795061</v>
      </c>
      <c r="N157" s="304">
        <f t="shared" ca="1" si="75"/>
        <v>78.580307429807633</v>
      </c>
      <c r="P157" s="310">
        <f t="shared" ca="1" si="76"/>
        <v>14</v>
      </c>
      <c r="Q157" s="304">
        <f t="shared" ca="1" si="77"/>
        <v>970.26833333333184</v>
      </c>
      <c r="R157" s="306">
        <f t="shared" ca="1" si="78"/>
        <v>0.47682066245966992</v>
      </c>
      <c r="S157" s="307">
        <f t="shared" ca="1" si="79"/>
        <v>8.5977156474153666</v>
      </c>
      <c r="T157" s="304">
        <f t="shared" ca="1" si="59"/>
        <v>84.343590501144746</v>
      </c>
      <c r="U157" s="311">
        <f t="shared" ca="1" si="60"/>
        <v>0</v>
      </c>
      <c r="V157" s="306">
        <f t="shared" ca="1" si="61"/>
        <v>1.207374634647006</v>
      </c>
      <c r="W157" s="304">
        <f t="shared" ca="1" si="62"/>
        <v>131.10482198283896</v>
      </c>
      <c r="Y157" s="314" t="str">
        <f t="shared" ca="1" si="80"/>
        <v/>
      </c>
      <c r="Z157" s="315" t="str">
        <f t="shared" ca="1" si="81"/>
        <v/>
      </c>
      <c r="AA157" s="316" t="str">
        <f t="shared" ca="1" si="82"/>
        <v/>
      </c>
      <c r="AC157" s="310" t="e">
        <f t="shared" ca="1" si="83"/>
        <v>#N/A</v>
      </c>
      <c r="AD157" s="323" t="e">
        <f t="shared" ca="1" si="84"/>
        <v>#N/A</v>
      </c>
      <c r="AE157" s="324">
        <f t="shared" ca="1" si="63"/>
        <v>144.92311424347562</v>
      </c>
      <c r="AG157" s="306">
        <f t="shared" ca="1" si="85"/>
        <v>88.127559556830448</v>
      </c>
      <c r="AH157" s="304">
        <f t="shared" ca="1" si="86"/>
        <v>97.743554154249452</v>
      </c>
    </row>
    <row r="158" spans="1:34" x14ac:dyDescent="0.3">
      <c r="A158" s="347">
        <f t="shared" ca="1" si="64"/>
        <v>0.01</v>
      </c>
      <c r="B158" s="304">
        <f t="shared" ca="1" si="65"/>
        <v>1.5400000000000011</v>
      </c>
      <c r="D158" s="306">
        <f t="shared" ca="1" si="66"/>
        <v>19.073158317083045</v>
      </c>
      <c r="E158" s="307">
        <f t="shared" ca="1" si="67"/>
        <v>84.614816131397717</v>
      </c>
      <c r="F158" s="304">
        <f t="shared" ca="1" si="68"/>
        <v>86.737837632366407</v>
      </c>
      <c r="G158" s="306">
        <f t="shared" ca="1" si="69"/>
        <v>37.253474056745986</v>
      </c>
      <c r="H158" s="307">
        <f t="shared" ca="1" si="70"/>
        <v>184.33136781988472</v>
      </c>
      <c r="I158" s="304">
        <f t="shared" ca="1" si="71"/>
        <v>188.05816784082066</v>
      </c>
      <c r="J158" s="306">
        <f t="shared" ca="1" si="72"/>
        <v>28.571131294536293</v>
      </c>
      <c r="K158" s="307">
        <f t="shared" ca="1" si="73"/>
        <v>146.7621971808679</v>
      </c>
      <c r="L158" s="304">
        <f t="shared" ca="1" si="58"/>
        <v>149.51739719780298</v>
      </c>
      <c r="M158" s="306">
        <f t="shared" ca="1" si="74"/>
        <v>1.371381808751766</v>
      </c>
      <c r="N158" s="304">
        <f t="shared" ca="1" si="75"/>
        <v>78.57438974249321</v>
      </c>
      <c r="P158" s="310">
        <f t="shared" ca="1" si="76"/>
        <v>14</v>
      </c>
      <c r="Q158" s="304">
        <f t="shared" ca="1" si="77"/>
        <v>958.88499999999851</v>
      </c>
      <c r="R158" s="306">
        <f t="shared" ca="1" si="78"/>
        <v>0.47122653106886986</v>
      </c>
      <c r="S158" s="307">
        <f t="shared" ca="1" si="79"/>
        <v>8.5930033821046781</v>
      </c>
      <c r="T158" s="304">
        <f t="shared" ca="1" si="59"/>
        <v>84.297363178446901</v>
      </c>
      <c r="U158" s="311">
        <f t="shared" ca="1" si="60"/>
        <v>0</v>
      </c>
      <c r="V158" s="306">
        <f t="shared" ca="1" si="61"/>
        <v>1.2071525970488974</v>
      </c>
      <c r="W158" s="304">
        <f t="shared" ca="1" si="62"/>
        <v>132.2979868056016</v>
      </c>
      <c r="Y158" s="314" t="str">
        <f t="shared" ca="1" si="80"/>
        <v/>
      </c>
      <c r="Z158" s="315" t="str">
        <f t="shared" ca="1" si="81"/>
        <v/>
      </c>
      <c r="AA158" s="316" t="str">
        <f t="shared" ca="1" si="82"/>
        <v/>
      </c>
      <c r="AC158" s="310" t="e">
        <f t="shared" ca="1" si="83"/>
        <v>#N/A</v>
      </c>
      <c r="AD158" s="323" t="e">
        <f t="shared" ca="1" si="84"/>
        <v>#N/A</v>
      </c>
      <c r="AE158" s="324">
        <f t="shared" ca="1" si="63"/>
        <v>146.7621971808679</v>
      </c>
      <c r="AG158" s="306">
        <f t="shared" ca="1" si="85"/>
        <v>86.716087643953102</v>
      </c>
      <c r="AH158" s="304">
        <f t="shared" ca="1" si="86"/>
        <v>96.331880857983776</v>
      </c>
    </row>
    <row r="159" spans="1:34" x14ac:dyDescent="0.3">
      <c r="A159" s="347">
        <f t="shared" ca="1" si="64"/>
        <v>0.01</v>
      </c>
      <c r="B159" s="304">
        <f t="shared" ca="1" si="65"/>
        <v>1.5500000000000012</v>
      </c>
      <c r="D159" s="306">
        <f t="shared" ca="1" si="66"/>
        <v>18.803172209256385</v>
      </c>
      <c r="E159" s="307">
        <f t="shared" ca="1" si="67"/>
        <v>83.228690764933773</v>
      </c>
      <c r="F159" s="304">
        <f t="shared" ca="1" si="68"/>
        <v>85.32628113058675</v>
      </c>
      <c r="G159" s="306">
        <f t="shared" ca="1" si="69"/>
        <v>37.441505778838547</v>
      </c>
      <c r="H159" s="307">
        <f t="shared" ca="1" si="70"/>
        <v>185.16365472753407</v>
      </c>
      <c r="I159" s="304">
        <f t="shared" ca="1" si="71"/>
        <v>188.9112103265559</v>
      </c>
      <c r="J159" s="306">
        <f t="shared" ca="1" si="72"/>
        <v>28.944606193714215</v>
      </c>
      <c r="K159" s="307">
        <f t="shared" ca="1" si="73"/>
        <v>148.609672293605</v>
      </c>
      <c r="L159" s="304">
        <f t="shared" ca="1" si="58"/>
        <v>151.40219591182247</v>
      </c>
      <c r="M159" s="306">
        <f t="shared" ca="1" si="74"/>
        <v>1.3712789394348728</v>
      </c>
      <c r="N159" s="304">
        <f t="shared" ca="1" si="75"/>
        <v>78.568495764793838</v>
      </c>
      <c r="P159" s="310">
        <f t="shared" ca="1" si="76"/>
        <v>14</v>
      </c>
      <c r="Q159" s="304">
        <f t="shared" ca="1" si="77"/>
        <v>947.50166666666519</v>
      </c>
      <c r="R159" s="306">
        <f t="shared" ca="1" si="78"/>
        <v>0.46563239967806985</v>
      </c>
      <c r="S159" s="307">
        <f t="shared" ca="1" si="79"/>
        <v>8.5883470581078978</v>
      </c>
      <c r="T159" s="304">
        <f t="shared" ca="1" si="59"/>
        <v>84.251684640038476</v>
      </c>
      <c r="U159" s="311">
        <f t="shared" ca="1" si="60"/>
        <v>0</v>
      </c>
      <c r="V159" s="306">
        <f t="shared" ca="1" si="61"/>
        <v>1.2069295870513588</v>
      </c>
      <c r="W159" s="304">
        <f t="shared" ca="1" si="62"/>
        <v>133.47626821399342</v>
      </c>
      <c r="Y159" s="314" t="str">
        <f t="shared" ca="1" si="80"/>
        <v/>
      </c>
      <c r="Z159" s="315" t="str">
        <f t="shared" ca="1" si="81"/>
        <v/>
      </c>
      <c r="AA159" s="316" t="str">
        <f t="shared" ca="1" si="82"/>
        <v/>
      </c>
      <c r="AC159" s="310" t="e">
        <f t="shared" ca="1" si="83"/>
        <v>#N/A</v>
      </c>
      <c r="AD159" s="323" t="e">
        <f t="shared" ca="1" si="84"/>
        <v>#N/A</v>
      </c>
      <c r="AE159" s="324">
        <f t="shared" ca="1" si="63"/>
        <v>148.609672293605</v>
      </c>
      <c r="AG159" s="306">
        <f t="shared" ca="1" si="85"/>
        <v>85.304148619692853</v>
      </c>
      <c r="AH159" s="304">
        <f t="shared" ca="1" si="86"/>
        <v>94.919741173182331</v>
      </c>
    </row>
    <row r="160" spans="1:34" x14ac:dyDescent="0.3">
      <c r="A160" s="347">
        <f t="shared" ca="1" si="64"/>
        <v>0.01</v>
      </c>
      <c r="B160" s="304">
        <f t="shared" ca="1" si="65"/>
        <v>1.5600000000000012</v>
      </c>
      <c r="D160" s="306">
        <f t="shared" ca="1" si="66"/>
        <v>18.165897455721538</v>
      </c>
      <c r="E160" s="307">
        <f t="shared" ca="1" si="67"/>
        <v>80.027838899313522</v>
      </c>
      <c r="F160" s="304">
        <f t="shared" ca="1" si="68"/>
        <v>82.063724198127076</v>
      </c>
      <c r="G160" s="306">
        <f t="shared" ca="1" si="69"/>
        <v>37.623164753395763</v>
      </c>
      <c r="H160" s="307">
        <f t="shared" ca="1" si="70"/>
        <v>185.96393311652722</v>
      </c>
      <c r="I160" s="304">
        <f t="shared" ca="1" si="71"/>
        <v>189.73161820379164</v>
      </c>
      <c r="J160" s="306">
        <f t="shared" ca="1" si="72"/>
        <v>29.319929546375388</v>
      </c>
      <c r="K160" s="307">
        <f t="shared" ca="1" si="73"/>
        <v>150.46531023282532</v>
      </c>
      <c r="L160" s="304">
        <f t="shared" ca="1" si="58"/>
        <v>153.29536148254709</v>
      </c>
      <c r="M160" s="306">
        <f t="shared" ca="1" si="74"/>
        <v>1.3711764627958436</v>
      </c>
      <c r="N160" s="304">
        <f t="shared" ca="1" si="75"/>
        <v>78.562624285878783</v>
      </c>
      <c r="P160" s="310">
        <f t="shared" ca="1" si="76"/>
        <v>15</v>
      </c>
      <c r="Q160" s="304">
        <f t="shared" ca="1" si="77"/>
        <v>920.23599999999465</v>
      </c>
      <c r="R160" s="306">
        <f t="shared" ca="1" si="78"/>
        <v>0.45223318546508778</v>
      </c>
      <c r="S160" s="307">
        <f t="shared" ca="1" si="79"/>
        <v>8.5838247262532477</v>
      </c>
      <c r="T160" s="304">
        <f t="shared" ca="1" si="59"/>
        <v>84.207320564544361</v>
      </c>
      <c r="U160" s="311">
        <f t="shared" ca="1" si="60"/>
        <v>0</v>
      </c>
      <c r="V160" s="306">
        <f t="shared" ca="1" si="61"/>
        <v>1.2067056328777073</v>
      </c>
      <c r="W160" s="304">
        <f t="shared" ca="1" si="62"/>
        <v>134.61313006664301</v>
      </c>
      <c r="Y160" s="314" t="str">
        <f t="shared" ca="1" si="80"/>
        <v/>
      </c>
      <c r="Z160" s="315" t="str">
        <f t="shared" ca="1" si="81"/>
        <v/>
      </c>
      <c r="AA160" s="316" t="str">
        <f t="shared" ca="1" si="82"/>
        <v/>
      </c>
      <c r="AC160" s="310" t="e">
        <f t="shared" ca="1" si="83"/>
        <v>#N/A</v>
      </c>
      <c r="AD160" s="323" t="e">
        <f t="shared" ca="1" si="84"/>
        <v>#N/A</v>
      </c>
      <c r="AE160" s="324">
        <f t="shared" ca="1" si="63"/>
        <v>150.46531023282532</v>
      </c>
      <c r="AG160" s="306">
        <f t="shared" ca="1" si="85"/>
        <v>82.040688100608335</v>
      </c>
      <c r="AH160" s="304">
        <f t="shared" ca="1" si="86"/>
        <v>91.65608069555887</v>
      </c>
    </row>
    <row r="161" spans="1:34" x14ac:dyDescent="0.3">
      <c r="A161" s="347">
        <f t="shared" ca="1" si="64"/>
        <v>0.01</v>
      </c>
      <c r="B161" s="304">
        <f t="shared" ca="1" si="65"/>
        <v>1.5700000000000012</v>
      </c>
      <c r="D161" s="306">
        <f t="shared" ca="1" si="66"/>
        <v>17.160686723625943</v>
      </c>
      <c r="E161" s="307">
        <f t="shared" ca="1" si="67"/>
        <v>75.011912750389115</v>
      </c>
      <c r="F161" s="304">
        <f t="shared" ca="1" si="68"/>
        <v>76.949829261008887</v>
      </c>
      <c r="G161" s="306">
        <f t="shared" ca="1" si="69"/>
        <v>37.794771620632019</v>
      </c>
      <c r="H161" s="307">
        <f t="shared" ca="1" si="70"/>
        <v>186.71405224403111</v>
      </c>
      <c r="I161" s="304">
        <f t="shared" ca="1" si="71"/>
        <v>190.50087156557188</v>
      </c>
      <c r="J161" s="306">
        <f t="shared" ca="1" si="72"/>
        <v>29.697019228245527</v>
      </c>
      <c r="K161" s="307">
        <f t="shared" ca="1" si="73"/>
        <v>152.32870015962811</v>
      </c>
      <c r="L161" s="304">
        <f t="shared" ca="1" si="58"/>
        <v>155.19647497080811</v>
      </c>
      <c r="M161" s="306">
        <f t="shared" ca="1" si="74"/>
        <v>1.3710743482395162</v>
      </c>
      <c r="N161" s="304">
        <f t="shared" ca="1" si="75"/>
        <v>78.556773552774374</v>
      </c>
      <c r="P161" s="310">
        <f t="shared" ca="1" si="76"/>
        <v>15</v>
      </c>
      <c r="Q161" s="304">
        <f t="shared" ca="1" si="77"/>
        <v>877.08799999999474</v>
      </c>
      <c r="R161" s="306">
        <f t="shared" ca="1" si="78"/>
        <v>0.43102888842992759</v>
      </c>
      <c r="S161" s="307">
        <f t="shared" ca="1" si="79"/>
        <v>8.5795144373689478</v>
      </c>
      <c r="T161" s="304">
        <f t="shared" ca="1" si="59"/>
        <v>84.165036630589384</v>
      </c>
      <c r="U161" s="311">
        <f t="shared" ca="1" si="60"/>
        <v>0</v>
      </c>
      <c r="V161" s="306">
        <f t="shared" ca="1" si="61"/>
        <v>1.2064807846307046</v>
      </c>
      <c r="W161" s="304">
        <f t="shared" ca="1" si="62"/>
        <v>135.68161504776057</v>
      </c>
      <c r="Y161" s="314" t="str">
        <f t="shared" ca="1" si="80"/>
        <v/>
      </c>
      <c r="Z161" s="315" t="str">
        <f t="shared" ca="1" si="81"/>
        <v/>
      </c>
      <c r="AA161" s="316" t="str">
        <f t="shared" ca="1" si="82"/>
        <v/>
      </c>
      <c r="AC161" s="310" t="e">
        <f t="shared" ca="1" si="83"/>
        <v>#N/A</v>
      </c>
      <c r="AD161" s="323" t="e">
        <f t="shared" ca="1" si="84"/>
        <v>#N/A</v>
      </c>
      <c r="AE161" s="324">
        <f t="shared" ca="1" si="63"/>
        <v>152.32870015962811</v>
      </c>
      <c r="AG161" s="306">
        <f t="shared" ca="1" si="85"/>
        <v>76.925236856746807</v>
      </c>
      <c r="AH161" s="304">
        <f t="shared" ca="1" si="86"/>
        <v>86.54043015528093</v>
      </c>
    </row>
    <row r="162" spans="1:34" x14ac:dyDescent="0.3">
      <c r="A162" s="347">
        <f t="shared" ca="1" si="64"/>
        <v>0.01</v>
      </c>
      <c r="B162" s="304">
        <f t="shared" ca="1" si="65"/>
        <v>1.5800000000000012</v>
      </c>
      <c r="D162" s="306">
        <f t="shared" ca="1" si="66"/>
        <v>16.15458147979286</v>
      </c>
      <c r="E162" s="307">
        <f t="shared" ca="1" si="67"/>
        <v>69.997000837965658</v>
      </c>
      <c r="F162" s="304">
        <f t="shared" ca="1" si="68"/>
        <v>71.836972577478733</v>
      </c>
      <c r="G162" s="306">
        <f t="shared" ca="1" si="69"/>
        <v>37.956317435429945</v>
      </c>
      <c r="H162" s="307">
        <f t="shared" ca="1" si="70"/>
        <v>187.41402225241077</v>
      </c>
      <c r="I162" s="304">
        <f t="shared" ca="1" si="71"/>
        <v>191.21897858237358</v>
      </c>
      <c r="J162" s="306">
        <f t="shared" ca="1" si="72"/>
        <v>30.075774673525835</v>
      </c>
      <c r="K162" s="307">
        <f t="shared" ca="1" si="73"/>
        <v>154.19934053211031</v>
      </c>
      <c r="L162" s="304">
        <f t="shared" ca="1" si="58"/>
        <v>157.10502488065242</v>
      </c>
      <c r="M162" s="306">
        <f t="shared" ca="1" si="74"/>
        <v>1.3709725658195153</v>
      </c>
      <c r="N162" s="304">
        <f t="shared" ca="1" si="75"/>
        <v>78.550941849679688</v>
      </c>
      <c r="P162" s="310">
        <f t="shared" ca="1" si="76"/>
        <v>15</v>
      </c>
      <c r="Q162" s="304">
        <f t="shared" ca="1" si="77"/>
        <v>833.93999999999471</v>
      </c>
      <c r="R162" s="306">
        <f t="shared" ca="1" si="78"/>
        <v>0.40982459139476735</v>
      </c>
      <c r="S162" s="307">
        <f t="shared" ca="1" si="79"/>
        <v>8.575416191455</v>
      </c>
      <c r="T162" s="304">
        <f t="shared" ca="1" si="59"/>
        <v>84.12483283817356</v>
      </c>
      <c r="U162" s="311">
        <f t="shared" ca="1" si="60"/>
        <v>0</v>
      </c>
      <c r="V162" s="306">
        <f t="shared" ca="1" si="61"/>
        <v>1.2062551033201354</v>
      </c>
      <c r="W162" s="304">
        <f t="shared" ca="1" si="62"/>
        <v>136.68089467916857</v>
      </c>
      <c r="Y162" s="314" t="str">
        <f t="shared" ca="1" si="80"/>
        <v/>
      </c>
      <c r="Z162" s="315" t="str">
        <f t="shared" ca="1" si="81"/>
        <v/>
      </c>
      <c r="AA162" s="316" t="str">
        <f t="shared" ca="1" si="82"/>
        <v/>
      </c>
      <c r="AC162" s="310" t="e">
        <f t="shared" ca="1" si="83"/>
        <v>#N/A</v>
      </c>
      <c r="AD162" s="323" t="e">
        <f t="shared" ca="1" si="84"/>
        <v>#N/A</v>
      </c>
      <c r="AE162" s="324">
        <f t="shared" ca="1" si="63"/>
        <v>154.19934053211031</v>
      </c>
      <c r="AG162" s="306">
        <f t="shared" ca="1" si="85"/>
        <v>71.810602631979648</v>
      </c>
      <c r="AH162" s="304">
        <f t="shared" ca="1" si="86"/>
        <v>81.4255972378362</v>
      </c>
    </row>
    <row r="163" spans="1:34" x14ac:dyDescent="0.3">
      <c r="A163" s="347">
        <f t="shared" ca="1" si="64"/>
        <v>0.01</v>
      </c>
      <c r="B163" s="304">
        <f t="shared" ca="1" si="65"/>
        <v>1.5900000000000012</v>
      </c>
      <c r="D163" s="306">
        <f t="shared" ca="1" si="66"/>
        <v>15.147684454926408</v>
      </c>
      <c r="E163" s="307">
        <f t="shared" ca="1" si="67"/>
        <v>64.983569643248444</v>
      </c>
      <c r="F163" s="304">
        <f t="shared" ca="1" si="68"/>
        <v>66.725682221502538</v>
      </c>
      <c r="G163" s="306">
        <f t="shared" ca="1" si="69"/>
        <v>38.10779427997921</v>
      </c>
      <c r="H163" s="307">
        <f t="shared" ca="1" si="70"/>
        <v>188.06385794884326</v>
      </c>
      <c r="I163" s="304">
        <f t="shared" ca="1" si="71"/>
        <v>191.88595219944557</v>
      </c>
      <c r="J163" s="306">
        <f t="shared" ca="1" si="72"/>
        <v>30.456095232102882</v>
      </c>
      <c r="K163" s="307">
        <f t="shared" ca="1" si="73"/>
        <v>156.07672993311658</v>
      </c>
      <c r="L163" s="304">
        <f t="shared" ca="1" si="58"/>
        <v>159.02049982125553</v>
      </c>
      <c r="M163" s="306">
        <f t="shared" ca="1" si="74"/>
        <v>1.3708710861830948</v>
      </c>
      <c r="N163" s="304">
        <f t="shared" ca="1" si="75"/>
        <v>78.54512749480628</v>
      </c>
      <c r="P163" s="310">
        <f t="shared" ca="1" si="76"/>
        <v>15</v>
      </c>
      <c r="Q163" s="304">
        <f t="shared" ca="1" si="77"/>
        <v>790.7919999999948</v>
      </c>
      <c r="R163" s="306">
        <f t="shared" ca="1" si="78"/>
        <v>0.3886202943596071</v>
      </c>
      <c r="S163" s="307">
        <f t="shared" ca="1" si="79"/>
        <v>8.5715299885114042</v>
      </c>
      <c r="T163" s="304">
        <f t="shared" ca="1" si="59"/>
        <v>84.086709187296876</v>
      </c>
      <c r="U163" s="311">
        <f t="shared" ca="1" si="60"/>
        <v>0</v>
      </c>
      <c r="V163" s="306">
        <f t="shared" ca="1" si="61"/>
        <v>1.2060286498975139</v>
      </c>
      <c r="W163" s="304">
        <f t="shared" ca="1" si="62"/>
        <v>137.61020731588721</v>
      </c>
      <c r="Y163" s="314" t="str">
        <f t="shared" ca="1" si="80"/>
        <v/>
      </c>
      <c r="Z163" s="315" t="str">
        <f t="shared" ca="1" si="81"/>
        <v/>
      </c>
      <c r="AA163" s="316" t="str">
        <f t="shared" ca="1" si="82"/>
        <v/>
      </c>
      <c r="AC163" s="310" t="e">
        <f t="shared" ca="1" si="83"/>
        <v>#N/A</v>
      </c>
      <c r="AD163" s="323" t="e">
        <f t="shared" ca="1" si="84"/>
        <v>#N/A</v>
      </c>
      <c r="AE163" s="324">
        <f t="shared" ca="1" si="63"/>
        <v>156.07672993311658</v>
      </c>
      <c r="AG163" s="306">
        <f t="shared" ca="1" si="85"/>
        <v>66.697262904004432</v>
      </c>
      <c r="AH163" s="304">
        <f t="shared" ca="1" si="86"/>
        <v>76.312059363677733</v>
      </c>
    </row>
    <row r="164" spans="1:34" x14ac:dyDescent="0.3">
      <c r="A164" s="347">
        <f t="shared" ca="1" si="64"/>
        <v>0.01</v>
      </c>
      <c r="B164" s="304">
        <f t="shared" ca="1" si="65"/>
        <v>1.6000000000000012</v>
      </c>
      <c r="D164" s="306">
        <f t="shared" ca="1" si="66"/>
        <v>14.140096514972297</v>
      </c>
      <c r="E164" s="307">
        <f t="shared" ca="1" si="67"/>
        <v>59.972078774676746</v>
      </c>
      <c r="F164" s="304">
        <f t="shared" ca="1" si="68"/>
        <v>61.61649585954045</v>
      </c>
      <c r="G164" s="306">
        <f t="shared" ca="1" si="69"/>
        <v>38.249195245128931</v>
      </c>
      <c r="H164" s="307">
        <f t="shared" ca="1" si="70"/>
        <v>188.66357873659004</v>
      </c>
      <c r="I164" s="304">
        <f t="shared" ca="1" si="71"/>
        <v>192.50181006576926</v>
      </c>
      <c r="J164" s="306">
        <f t="shared" ca="1" si="72"/>
        <v>30.837880179728423</v>
      </c>
      <c r="K164" s="307">
        <f t="shared" ca="1" si="73"/>
        <v>157.96036711654375</v>
      </c>
      <c r="L164" s="304">
        <f t="shared" ca="1" si="58"/>
        <v>160.94238855432886</v>
      </c>
      <c r="M164" s="306">
        <f t="shared" ca="1" si="74"/>
        <v>1.3707698805184998</v>
      </c>
      <c r="N164" s="304">
        <f t="shared" ca="1" si="75"/>
        <v>78.539328837362163</v>
      </c>
      <c r="P164" s="310">
        <f t="shared" ca="1" si="76"/>
        <v>15</v>
      </c>
      <c r="Q164" s="304">
        <f t="shared" ca="1" si="77"/>
        <v>747.64399999999478</v>
      </c>
      <c r="R164" s="306">
        <f t="shared" ca="1" si="78"/>
        <v>0.36741599732444685</v>
      </c>
      <c r="S164" s="307">
        <f t="shared" ca="1" si="79"/>
        <v>8.5678558285381605</v>
      </c>
      <c r="T164" s="304">
        <f t="shared" ca="1" si="59"/>
        <v>84.050665677959358</v>
      </c>
      <c r="U164" s="311">
        <f t="shared" ca="1" si="60"/>
        <v>0</v>
      </c>
      <c r="V164" s="306">
        <f t="shared" ca="1" si="61"/>
        <v>1.2058014852501229</v>
      </c>
      <c r="W164" s="304">
        <f t="shared" ca="1" si="62"/>
        <v>138.46885803064598</v>
      </c>
      <c r="Y164" s="314" t="str">
        <f t="shared" ca="1" si="80"/>
        <v/>
      </c>
      <c r="Z164" s="315" t="str">
        <f t="shared" ca="1" si="81"/>
        <v/>
      </c>
      <c r="AA164" s="316" t="str">
        <f t="shared" ca="1" si="82"/>
        <v/>
      </c>
      <c r="AC164" s="310" t="e">
        <f t="shared" ca="1" si="83"/>
        <v>#N/A</v>
      </c>
      <c r="AD164" s="323" t="e">
        <f t="shared" ca="1" si="84"/>
        <v>#N/A</v>
      </c>
      <c r="AE164" s="324">
        <f t="shared" ca="1" si="63"/>
        <v>157.96036711654375</v>
      </c>
      <c r="AG164" s="306">
        <f t="shared" ca="1" si="85"/>
        <v>61.585688046544803</v>
      </c>
      <c r="AH164" s="304">
        <f t="shared" ca="1" si="86"/>
        <v>71.200286850320509</v>
      </c>
    </row>
    <row r="165" spans="1:34" x14ac:dyDescent="0.3">
      <c r="A165" s="347">
        <f t="shared" ca="1" si="64"/>
        <v>0.01</v>
      </c>
      <c r="B165" s="304">
        <f t="shared" ca="1" si="65"/>
        <v>1.6100000000000012</v>
      </c>
      <c r="D165" s="306">
        <f t="shared" ca="1" si="66"/>
        <v>12.664263921068407</v>
      </c>
      <c r="E165" s="307">
        <f t="shared" ca="1" si="67"/>
        <v>52.65629080954912</v>
      </c>
      <c r="F165" s="304">
        <f t="shared" ca="1" si="68"/>
        <v>54.157811463188594</v>
      </c>
      <c r="G165" s="306">
        <f t="shared" ca="1" si="69"/>
        <v>38.375837884339617</v>
      </c>
      <c r="H165" s="307">
        <f t="shared" ca="1" si="70"/>
        <v>189.19014164468553</v>
      </c>
      <c r="I165" s="304">
        <f t="shared" ca="1" si="71"/>
        <v>193.04303828126331</v>
      </c>
      <c r="J165" s="306">
        <f t="shared" ca="1" si="72"/>
        <v>31.221005345375765</v>
      </c>
      <c r="K165" s="307">
        <f t="shared" ca="1" si="73"/>
        <v>159.84963571845012</v>
      </c>
      <c r="L165" s="304">
        <f t="shared" ca="1" si="58"/>
        <v>162.87006236290691</v>
      </c>
      <c r="M165" s="306">
        <f t="shared" ca="1" si="74"/>
        <v>1.3706689081953551</v>
      </c>
      <c r="N165" s="304">
        <f t="shared" ca="1" si="75"/>
        <v>78.533543549398345</v>
      </c>
      <c r="P165" s="310">
        <f t="shared" ca="1" si="76"/>
        <v>16</v>
      </c>
      <c r="Q165" s="304">
        <f t="shared" ca="1" si="77"/>
        <v>684.3449999999898</v>
      </c>
      <c r="R165" s="306">
        <f t="shared" ca="1" si="78"/>
        <v>0.33630885914819969</v>
      </c>
      <c r="S165" s="307">
        <f t="shared" ca="1" si="79"/>
        <v>8.5644927399466777</v>
      </c>
      <c r="T165" s="304">
        <f t="shared" ca="1" si="59"/>
        <v>84.017673778876912</v>
      </c>
      <c r="U165" s="311">
        <f t="shared" ca="1" si="60"/>
        <v>0</v>
      </c>
      <c r="V165" s="306">
        <f t="shared" ca="1" si="61"/>
        <v>1.2055736841004847</v>
      </c>
      <c r="W165" s="304">
        <f t="shared" ca="1" si="62"/>
        <v>139.22226950616599</v>
      </c>
      <c r="Y165" s="314" t="str">
        <f t="shared" ca="1" si="80"/>
        <v/>
      </c>
      <c r="Z165" s="315" t="str">
        <f t="shared" ca="1" si="81"/>
        <v/>
      </c>
      <c r="AA165" s="316" t="str">
        <f t="shared" ca="1" si="82"/>
        <v/>
      </c>
      <c r="AC165" s="310" t="e">
        <f t="shared" ca="1" si="83"/>
        <v>#N/A</v>
      </c>
      <c r="AD165" s="323" t="e">
        <f t="shared" ca="1" si="84"/>
        <v>#N/A</v>
      </c>
      <c r="AE165" s="324">
        <f t="shared" ca="1" si="63"/>
        <v>159.84963571845012</v>
      </c>
      <c r="AG165" s="306">
        <f t="shared" ca="1" si="85"/>
        <v>54.122723141758144</v>
      </c>
      <c r="AH165" s="304">
        <f t="shared" ca="1" si="86"/>
        <v>63.737124724650357</v>
      </c>
    </row>
    <row r="166" spans="1:34" x14ac:dyDescent="0.3">
      <c r="A166" s="347">
        <f t="shared" ca="1" si="64"/>
        <v>0.01</v>
      </c>
      <c r="B166" s="304">
        <f t="shared" ca="1" si="65"/>
        <v>1.6200000000000012</v>
      </c>
      <c r="D166" s="306">
        <f t="shared" ca="1" si="66"/>
        <v>10.71978492559203</v>
      </c>
      <c r="E166" s="307">
        <f t="shared" ca="1" si="67"/>
        <v>43.037774544642268</v>
      </c>
      <c r="F166" s="304">
        <f t="shared" ca="1" si="68"/>
        <v>44.352720622374541</v>
      </c>
      <c r="G166" s="306">
        <f t="shared" ca="1" si="69"/>
        <v>38.483035733595536</v>
      </c>
      <c r="H166" s="307">
        <f t="shared" ca="1" si="70"/>
        <v>189.62051939013196</v>
      </c>
      <c r="I166" s="304">
        <f t="shared" ca="1" si="71"/>
        <v>193.48613752167518</v>
      </c>
      <c r="J166" s="306">
        <f t="shared" ca="1" si="72"/>
        <v>31.605299713465442</v>
      </c>
      <c r="K166" s="307">
        <f t="shared" ca="1" si="73"/>
        <v>161.7436890236242</v>
      </c>
      <c r="L166" s="304">
        <f t="shared" ca="1" si="58"/>
        <v>164.80265746931642</v>
      </c>
      <c r="M166" s="306">
        <f t="shared" ca="1" si="74"/>
        <v>1.3705681169341459</v>
      </c>
      <c r="N166" s="304">
        <f t="shared" ca="1" si="75"/>
        <v>78.527768635519251</v>
      </c>
      <c r="P166" s="310">
        <f t="shared" ca="1" si="76"/>
        <v>16</v>
      </c>
      <c r="Q166" s="304">
        <f t="shared" ca="1" si="77"/>
        <v>600.89499999998975</v>
      </c>
      <c r="R166" s="306">
        <f t="shared" ca="1" si="78"/>
        <v>0.29529887983087039</v>
      </c>
      <c r="S166" s="307">
        <f t="shared" ca="1" si="79"/>
        <v>8.5615397511483682</v>
      </c>
      <c r="T166" s="304">
        <f t="shared" ca="1" si="59"/>
        <v>83.988704958765496</v>
      </c>
      <c r="U166" s="311">
        <f t="shared" ca="1" si="60"/>
        <v>0</v>
      </c>
      <c r="V166" s="306">
        <f t="shared" ca="1" si="61"/>
        <v>1.2053453488835089</v>
      </c>
      <c r="W166" s="304">
        <f t="shared" ca="1" si="62"/>
        <v>139.83563782118645</v>
      </c>
      <c r="Y166" s="314" t="str">
        <f t="shared" ca="1" si="80"/>
        <v/>
      </c>
      <c r="Z166" s="315" t="str">
        <f t="shared" ca="1" si="81"/>
        <v/>
      </c>
      <c r="AA166" s="316" t="str">
        <f t="shared" ca="1" si="82"/>
        <v/>
      </c>
      <c r="AC166" s="310" t="e">
        <f t="shared" ca="1" si="83"/>
        <v>#N/A</v>
      </c>
      <c r="AD166" s="323" t="e">
        <f t="shared" ca="1" si="84"/>
        <v>#N/A</v>
      </c>
      <c r="AE166" s="324">
        <f t="shared" ca="1" si="63"/>
        <v>161.7436890236242</v>
      </c>
      <c r="AG166" s="306">
        <f t="shared" ca="1" si="85"/>
        <v>44.309825761080759</v>
      </c>
      <c r="AH166" s="304">
        <f t="shared" ca="1" si="86"/>
        <v>53.92403047966917</v>
      </c>
    </row>
    <row r="167" spans="1:34" x14ac:dyDescent="0.3">
      <c r="A167" s="347">
        <f t="shared" ca="1" si="64"/>
        <v>0.01</v>
      </c>
      <c r="B167" s="304">
        <f t="shared" ca="1" si="65"/>
        <v>1.6300000000000012</v>
      </c>
      <c r="D167" s="306">
        <f t="shared" ca="1" si="66"/>
        <v>8.819469469531116</v>
      </c>
      <c r="E167" s="307">
        <f t="shared" ca="1" si="67"/>
        <v>33.646872610960493</v>
      </c>
      <c r="F167" s="304">
        <f t="shared" ca="1" si="68"/>
        <v>34.783546084638857</v>
      </c>
      <c r="G167" s="306">
        <f t="shared" ca="1" si="69"/>
        <v>38.571230428290846</v>
      </c>
      <c r="H167" s="307">
        <f t="shared" ca="1" si="70"/>
        <v>189.95698811624158</v>
      </c>
      <c r="I167" s="304">
        <f t="shared" ca="1" si="71"/>
        <v>193.83342629935183</v>
      </c>
      <c r="J167" s="306">
        <f t="shared" ca="1" si="72"/>
        <v>31.990571044274873</v>
      </c>
      <c r="K167" s="307">
        <f t="shared" ca="1" si="73"/>
        <v>163.64157656115606</v>
      </c>
      <c r="L167" s="304">
        <f t="shared" ca="1" si="58"/>
        <v>166.73920419373331</v>
      </c>
      <c r="M167" s="306">
        <f t="shared" ca="1" si="74"/>
        <v>1.3704674562670007</v>
      </c>
      <c r="N167" s="304">
        <f t="shared" ca="1" si="75"/>
        <v>78.52200120412887</v>
      </c>
      <c r="P167" s="310">
        <f t="shared" ca="1" si="76"/>
        <v>17</v>
      </c>
      <c r="Q167" s="304">
        <f t="shared" ca="1" si="77"/>
        <v>519.36499999998978</v>
      </c>
      <c r="R167" s="306">
        <f t="shared" ca="1" si="78"/>
        <v>0.25523244946847556</v>
      </c>
      <c r="S167" s="307">
        <f t="shared" ca="1" si="79"/>
        <v>8.5589874266536832</v>
      </c>
      <c r="T167" s="304">
        <f t="shared" ca="1" si="59"/>
        <v>83.963666655472636</v>
      </c>
      <c r="U167" s="311">
        <f t="shared" ca="1" si="60"/>
        <v>0</v>
      </c>
      <c r="V167" s="306">
        <f t="shared" ca="1" si="61"/>
        <v>1.2051165944627344</v>
      </c>
      <c r="W167" s="304">
        <f t="shared" ca="1" si="62"/>
        <v>140.31143721267455</v>
      </c>
      <c r="Y167" s="314" t="str">
        <f t="shared" ca="1" si="80"/>
        <v/>
      </c>
      <c r="Z167" s="315" t="str">
        <f t="shared" ca="1" si="81"/>
        <v/>
      </c>
      <c r="AA167" s="316" t="str">
        <f t="shared" ca="1" si="82"/>
        <v/>
      </c>
      <c r="AC167" s="310" t="e">
        <f t="shared" ca="1" si="83"/>
        <v>#N/A</v>
      </c>
      <c r="AD167" s="323" t="e">
        <f t="shared" ca="1" si="84"/>
        <v>#N/A</v>
      </c>
      <c r="AE167" s="324">
        <f t="shared" ca="1" si="63"/>
        <v>163.64157656115606</v>
      </c>
      <c r="AG167" s="306">
        <f t="shared" ca="1" si="85"/>
        <v>34.728779566125255</v>
      </c>
      <c r="AH167" s="304">
        <f t="shared" ca="1" si="86"/>
        <v>44.342787675666486</v>
      </c>
    </row>
    <row r="168" spans="1:34" x14ac:dyDescent="0.3">
      <c r="A168" s="347">
        <f t="shared" ca="1" si="64"/>
        <v>0.01</v>
      </c>
      <c r="B168" s="304">
        <f t="shared" ca="1" si="65"/>
        <v>1.6400000000000012</v>
      </c>
      <c r="D168" s="306">
        <f t="shared" ca="1" si="66"/>
        <v>6.9636523942400848</v>
      </c>
      <c r="E168" s="307">
        <f t="shared" ca="1" si="67"/>
        <v>24.484846713732814</v>
      </c>
      <c r="F168" s="304">
        <f t="shared" ca="1" si="68"/>
        <v>25.455847525918252</v>
      </c>
      <c r="G168" s="306">
        <f t="shared" ca="1" si="69"/>
        <v>38.640866952233246</v>
      </c>
      <c r="H168" s="307">
        <f t="shared" ca="1" si="70"/>
        <v>190.20183658337891</v>
      </c>
      <c r="I168" s="304">
        <f t="shared" ca="1" si="71"/>
        <v>194.08723615557662</v>
      </c>
      <c r="J168" s="306">
        <f t="shared" ca="1" si="72"/>
        <v>32.376631531177495</v>
      </c>
      <c r="K168" s="307">
        <f t="shared" ca="1" si="73"/>
        <v>165.54237068465417</v>
      </c>
      <c r="L168" s="304">
        <f t="shared" ca="1" si="58"/>
        <v>168.67875610521048</v>
      </c>
      <c r="M168" s="306">
        <f t="shared" ca="1" si="74"/>
        <v>1.3703668773736184</v>
      </c>
      <c r="N168" s="304">
        <f t="shared" ca="1" si="75"/>
        <v>78.51623845802996</v>
      </c>
      <c r="P168" s="310">
        <f t="shared" ca="1" si="76"/>
        <v>17</v>
      </c>
      <c r="Q168" s="304">
        <f t="shared" ca="1" si="77"/>
        <v>439.75499999998891</v>
      </c>
      <c r="R168" s="306">
        <f t="shared" ca="1" si="78"/>
        <v>0.21610956806101458</v>
      </c>
      <c r="S168" s="307">
        <f t="shared" ca="1" si="79"/>
        <v>8.5568263309730739</v>
      </c>
      <c r="T168" s="304">
        <f t="shared" ca="1" si="59"/>
        <v>83.942466306845859</v>
      </c>
      <c r="U168" s="311">
        <f t="shared" ca="1" si="60"/>
        <v>0</v>
      </c>
      <c r="V168" s="306">
        <f t="shared" ca="1" si="61"/>
        <v>1.204887532865617</v>
      </c>
      <c r="W168" s="304">
        <f t="shared" ca="1" si="62"/>
        <v>140.6523922279236</v>
      </c>
      <c r="Y168" s="314" t="str">
        <f t="shared" ca="1" si="80"/>
        <v/>
      </c>
      <c r="Z168" s="315" t="str">
        <f t="shared" ca="1" si="81"/>
        <v/>
      </c>
      <c r="AA168" s="316" t="str">
        <f t="shared" ca="1" si="82"/>
        <v/>
      </c>
      <c r="AC168" s="310" t="e">
        <f t="shared" ca="1" si="83"/>
        <v>#N/A</v>
      </c>
      <c r="AD168" s="323" t="e">
        <f t="shared" ca="1" si="84"/>
        <v>#N/A</v>
      </c>
      <c r="AE168" s="324">
        <f t="shared" ca="1" si="63"/>
        <v>165.54237068465417</v>
      </c>
      <c r="AG168" s="306">
        <f t="shared" ca="1" si="85"/>
        <v>25.380887452051123</v>
      </c>
      <c r="AH168" s="304">
        <f t="shared" ca="1" si="86"/>
        <v>34.994699109811421</v>
      </c>
    </row>
    <row r="169" spans="1:34" x14ac:dyDescent="0.3">
      <c r="A169" s="347">
        <f t="shared" ca="1" si="64"/>
        <v>0.01</v>
      </c>
      <c r="B169" s="304">
        <f t="shared" ca="1" si="65"/>
        <v>1.6500000000000012</v>
      </c>
      <c r="D169" s="306">
        <f t="shared" ca="1" si="66"/>
        <v>5.555586347067881</v>
      </c>
      <c r="E169" s="307">
        <f t="shared" ca="1" si="67"/>
        <v>17.53624789387095</v>
      </c>
      <c r="F169" s="304">
        <f t="shared" ca="1" si="68"/>
        <v>18.395231171556947</v>
      </c>
      <c r="G169" s="306">
        <f t="shared" ca="1" si="69"/>
        <v>38.696422815703926</v>
      </c>
      <c r="H169" s="307">
        <f t="shared" ca="1" si="70"/>
        <v>190.37719906231763</v>
      </c>
      <c r="I169" s="304">
        <f t="shared" ca="1" si="71"/>
        <v>194.27014969249663</v>
      </c>
      <c r="J169" s="306">
        <f t="shared" ca="1" si="72"/>
        <v>32.763317980017177</v>
      </c>
      <c r="K169" s="307">
        <f t="shared" ca="1" si="73"/>
        <v>167.44526586288265</v>
      </c>
      <c r="L169" s="304">
        <f t="shared" ca="1" si="58"/>
        <v>170.62049133955503</v>
      </c>
      <c r="M169" s="306">
        <f t="shared" ca="1" si="74"/>
        <v>1.3702663434067188</v>
      </c>
      <c r="N169" s="304">
        <f t="shared" ca="1" si="75"/>
        <v>78.510478286028913</v>
      </c>
      <c r="P169" s="310">
        <f t="shared" ca="1" si="76"/>
        <v>18</v>
      </c>
      <c r="Q169" s="304">
        <f t="shared" ca="1" si="77"/>
        <v>379.37749999999403</v>
      </c>
      <c r="R169" s="306">
        <f t="shared" ca="1" si="78"/>
        <v>0.18643814773468939</v>
      </c>
      <c r="S169" s="307">
        <f t="shared" ca="1" si="79"/>
        <v>8.554961949495727</v>
      </c>
      <c r="T169" s="304">
        <f t="shared" ca="1" si="59"/>
        <v>83.924176724553092</v>
      </c>
      <c r="U169" s="311">
        <f t="shared" ca="1" si="60"/>
        <v>0</v>
      </c>
      <c r="V169" s="306">
        <f t="shared" ca="1" si="61"/>
        <v>1.2046582613238341</v>
      </c>
      <c r="W169" s="304">
        <f t="shared" ca="1" si="62"/>
        <v>140.89081262473607</v>
      </c>
      <c r="Y169" s="314" t="str">
        <f t="shared" ca="1" si="80"/>
        <v/>
      </c>
      <c r="Z169" s="315" t="str">
        <f t="shared" ca="1" si="81"/>
        <v/>
      </c>
      <c r="AA169" s="316" t="str">
        <f t="shared" ca="1" si="82"/>
        <v/>
      </c>
      <c r="AC169" s="310" t="e">
        <f t="shared" ca="1" si="83"/>
        <v>#N/A</v>
      </c>
      <c r="AD169" s="323" t="e">
        <f t="shared" ca="1" si="84"/>
        <v>#N/A</v>
      </c>
      <c r="AE169" s="324">
        <f t="shared" ca="1" si="63"/>
        <v>167.44526586288265</v>
      </c>
      <c r="AG169" s="306">
        <f t="shared" ca="1" si="85"/>
        <v>18.291255516816506</v>
      </c>
      <c r="AH169" s="304">
        <f t="shared" ca="1" si="86"/>
        <v>27.904870785093568</v>
      </c>
    </row>
    <row r="170" spans="1:34" x14ac:dyDescent="0.3">
      <c r="A170" s="347">
        <f t="shared" ca="1" si="64"/>
        <v>0.01</v>
      </c>
      <c r="B170" s="304">
        <f t="shared" ca="1" si="65"/>
        <v>1.6600000000000013</v>
      </c>
      <c r="D170" s="306">
        <f t="shared" ca="1" si="66"/>
        <v>4.5956811463307066</v>
      </c>
      <c r="E170" s="307">
        <f t="shared" ca="1" si="67"/>
        <v>12.799658484165631</v>
      </c>
      <c r="F170" s="304">
        <f t="shared" ca="1" si="68"/>
        <v>13.599689059313553</v>
      </c>
      <c r="G170" s="306">
        <f t="shared" ca="1" si="69"/>
        <v>38.742379627167232</v>
      </c>
      <c r="H170" s="307">
        <f t="shared" ca="1" si="70"/>
        <v>190.5051956471593</v>
      </c>
      <c r="I170" s="304">
        <f t="shared" ca="1" si="71"/>
        <v>194.40473643339553</v>
      </c>
      <c r="J170" s="306">
        <f t="shared" ca="1" si="72"/>
        <v>33.150511992231536</v>
      </c>
      <c r="K170" s="307">
        <f t="shared" ca="1" si="73"/>
        <v>169.34967783643003</v>
      </c>
      <c r="L170" s="304">
        <f t="shared" ca="1" si="58"/>
        <v>172.56381378681257</v>
      </c>
      <c r="M170" s="306">
        <f t="shared" ca="1" si="74"/>
        <v>1.3701658293245658</v>
      </c>
      <c r="N170" s="304">
        <f t="shared" ca="1" si="75"/>
        <v>78.5047192533399</v>
      </c>
      <c r="P170" s="310">
        <f t="shared" ca="1" si="76"/>
        <v>18</v>
      </c>
      <c r="Q170" s="304">
        <f t="shared" ca="1" si="77"/>
        <v>338.23249999999405</v>
      </c>
      <c r="R170" s="306">
        <f t="shared" ca="1" si="78"/>
        <v>0.16621818848949454</v>
      </c>
      <c r="S170" s="307">
        <f t="shared" ca="1" si="79"/>
        <v>8.5532997676108327</v>
      </c>
      <c r="T170" s="304">
        <f t="shared" ca="1" si="59"/>
        <v>83.907870720262267</v>
      </c>
      <c r="U170" s="311">
        <f t="shared" ca="1" si="60"/>
        <v>0</v>
      </c>
      <c r="V170" s="306">
        <f t="shared" ca="1" si="61"/>
        <v>1.2044288503433909</v>
      </c>
      <c r="W170" s="304">
        <f t="shared" ca="1" si="62"/>
        <v>141.05922535486877</v>
      </c>
      <c r="Y170" s="314" t="str">
        <f t="shared" ca="1" si="80"/>
        <v/>
      </c>
      <c r="Z170" s="315" t="str">
        <f t="shared" ca="1" si="81"/>
        <v/>
      </c>
      <c r="AA170" s="316" t="str">
        <f t="shared" ca="1" si="82"/>
        <v/>
      </c>
      <c r="AC170" s="310" t="e">
        <f t="shared" ca="1" si="83"/>
        <v>#N/A</v>
      </c>
      <c r="AD170" s="323" t="e">
        <f t="shared" ca="1" si="84"/>
        <v>#N/A</v>
      </c>
      <c r="AE170" s="324">
        <f t="shared" ca="1" si="63"/>
        <v>169.34967783643003</v>
      </c>
      <c r="AG170" s="306">
        <f t="shared" ca="1" si="85"/>
        <v>13.45857588555325</v>
      </c>
      <c r="AH170" s="304">
        <f t="shared" ca="1" si="86"/>
        <v>23.071994754882866</v>
      </c>
    </row>
    <row r="171" spans="1:34" x14ac:dyDescent="0.3">
      <c r="A171" s="347">
        <f t="shared" ca="1" si="64"/>
        <v>0.01</v>
      </c>
      <c r="B171" s="304">
        <f t="shared" ca="1" si="65"/>
        <v>1.6700000000000013</v>
      </c>
      <c r="D171" s="306">
        <f t="shared" ca="1" si="66"/>
        <v>3.2953287541040113</v>
      </c>
      <c r="E171" s="307">
        <f t="shared" ca="1" si="67"/>
        <v>6.3938897729988629</v>
      </c>
      <c r="F171" s="304">
        <f t="shared" ca="1" si="68"/>
        <v>7.1931229675909298</v>
      </c>
      <c r="G171" s="306">
        <f t="shared" ca="1" si="69"/>
        <v>38.775332914708272</v>
      </c>
      <c r="H171" s="307">
        <f t="shared" ca="1" si="70"/>
        <v>190.56913454488929</v>
      </c>
      <c r="I171" s="304">
        <f t="shared" ca="1" si="71"/>
        <v>194.47396094036492</v>
      </c>
      <c r="J171" s="306">
        <f t="shared" ca="1" si="72"/>
        <v>33.538100554940911</v>
      </c>
      <c r="K171" s="307">
        <f t="shared" ca="1" si="73"/>
        <v>171.25504948739027</v>
      </c>
      <c r="L171" s="304">
        <f t="shared" ca="1" si="58"/>
        <v>174.50815500646902</v>
      </c>
      <c r="M171" s="306">
        <f t="shared" ca="1" si="74"/>
        <v>1.3700653013346211</v>
      </c>
      <c r="N171" s="304">
        <f t="shared" ca="1" si="75"/>
        <v>78.498959423793139</v>
      </c>
      <c r="P171" s="310">
        <f t="shared" ca="1" si="76"/>
        <v>19</v>
      </c>
      <c r="Q171" s="304">
        <f t="shared" ca="1" si="77"/>
        <v>282.46999999998985</v>
      </c>
      <c r="R171" s="306">
        <f t="shared" ca="1" si="78"/>
        <v>0.13881472567723876</v>
      </c>
      <c r="S171" s="307">
        <f t="shared" ca="1" si="79"/>
        <v>8.5519116203540602</v>
      </c>
      <c r="T171" s="304">
        <f t="shared" ca="1" si="59"/>
        <v>83.894252995673341</v>
      </c>
      <c r="U171" s="311">
        <f t="shared" ca="1" si="60"/>
        <v>0</v>
      </c>
      <c r="V171" s="306">
        <f t="shared" ca="1" si="61"/>
        <v>1.2041993671085545</v>
      </c>
      <c r="W171" s="304">
        <f t="shared" ca="1" si="62"/>
        <v>141.1328056817479</v>
      </c>
      <c r="Y171" s="314" t="str">
        <f t="shared" ca="1" si="80"/>
        <v/>
      </c>
      <c r="Z171" s="315" t="str">
        <f t="shared" ca="1" si="81"/>
        <v/>
      </c>
      <c r="AA171" s="316" t="str">
        <f t="shared" ca="1" si="82"/>
        <v/>
      </c>
      <c r="AC171" s="310" t="e">
        <f t="shared" ca="1" si="83"/>
        <v>#N/A</v>
      </c>
      <c r="AD171" s="323" t="e">
        <f t="shared" ca="1" si="84"/>
        <v>#N/A</v>
      </c>
      <c r="AE171" s="324">
        <f t="shared" ca="1" si="63"/>
        <v>171.25504948739027</v>
      </c>
      <c r="AG171" s="306">
        <f t="shared" ca="1" si="85"/>
        <v>6.9223524304429489</v>
      </c>
      <c r="AH171" s="304">
        <f t="shared" ca="1" si="86"/>
        <v>16.535574842536374</v>
      </c>
    </row>
    <row r="172" spans="1:34" x14ac:dyDescent="0.3">
      <c r="A172" s="347">
        <f t="shared" ca="1" si="64"/>
        <v>0.01</v>
      </c>
      <c r="B172" s="304">
        <f t="shared" ca="1" si="65"/>
        <v>1.6800000000000013</v>
      </c>
      <c r="D172" s="306">
        <f t="shared" ca="1" si="66"/>
        <v>1.9011464606585968</v>
      </c>
      <c r="E172" s="307">
        <f t="shared" ca="1" si="67"/>
        <v>-0.46643520204670352</v>
      </c>
      <c r="F172" s="304">
        <f t="shared" ca="1" si="68"/>
        <v>1.9575289685169563</v>
      </c>
      <c r="G172" s="306">
        <f t="shared" ca="1" si="69"/>
        <v>38.794344379314857</v>
      </c>
      <c r="H172" s="307">
        <f t="shared" ca="1" si="70"/>
        <v>190.56447019286884</v>
      </c>
      <c r="I172" s="304">
        <f t="shared" ca="1" si="71"/>
        <v>194.47318184189223</v>
      </c>
      <c r="J172" s="306">
        <f t="shared" ca="1" si="72"/>
        <v>33.925948941411029</v>
      </c>
      <c r="K172" s="307">
        <f t="shared" ca="1" si="73"/>
        <v>173.16071751107907</v>
      </c>
      <c r="L172" s="304">
        <f t="shared" ca="1" si="58"/>
        <v>176.45283817645711</v>
      </c>
      <c r="M172" s="306">
        <f t="shared" ca="1" si="74"/>
        <v>1.3699647232493288</v>
      </c>
      <c r="N172" s="304">
        <f t="shared" ca="1" si="75"/>
        <v>78.493196723994387</v>
      </c>
      <c r="P172" s="310">
        <f t="shared" ca="1" si="76"/>
        <v>20</v>
      </c>
      <c r="Q172" s="304">
        <f t="shared" ca="1" si="77"/>
        <v>222.66499999999292</v>
      </c>
      <c r="R172" s="306">
        <f t="shared" ca="1" si="78"/>
        <v>0.10942465002627712</v>
      </c>
      <c r="S172" s="307">
        <f t="shared" ca="1" si="79"/>
        <v>8.550817373853798</v>
      </c>
      <c r="T172" s="304">
        <f t="shared" ca="1" si="59"/>
        <v>83.883518437505757</v>
      </c>
      <c r="U172" s="311">
        <f t="shared" ca="1" si="60"/>
        <v>0</v>
      </c>
      <c r="V172" s="306">
        <f t="shared" ca="1" si="61"/>
        <v>1.2039698915384198</v>
      </c>
      <c r="W172" s="304">
        <f t="shared" ca="1" si="62"/>
        <v>141.10478043277104</v>
      </c>
      <c r="Y172" s="314" t="str">
        <f t="shared" ca="1" si="80"/>
        <v/>
      </c>
      <c r="Z172" s="315" t="str">
        <f t="shared" ca="1" si="81"/>
        <v/>
      </c>
      <c r="AA172" s="316" t="str">
        <f t="shared" ca="1" si="82"/>
        <v/>
      </c>
      <c r="AC172" s="310" t="e">
        <f t="shared" ca="1" si="83"/>
        <v>#N/A</v>
      </c>
      <c r="AD172" s="323" t="e">
        <f t="shared" ca="1" si="84"/>
        <v>#N/A</v>
      </c>
      <c r="AE172" s="324">
        <f t="shared" ca="1" si="63"/>
        <v>173.16071751107907</v>
      </c>
      <c r="AG172" s="306">
        <f t="shared" ca="1" si="85"/>
        <v>-7.8008211332242894E-2</v>
      </c>
      <c r="AH172" s="304">
        <f t="shared" ca="1" si="86"/>
        <v>9.5350176191985483</v>
      </c>
    </row>
    <row r="173" spans="1:34" x14ac:dyDescent="0.3">
      <c r="A173" s="347">
        <f t="shared" ca="1" si="64"/>
        <v>0.01</v>
      </c>
      <c r="B173" s="304">
        <f t="shared" ca="1" si="65"/>
        <v>1.6900000000000013</v>
      </c>
      <c r="D173" s="306">
        <f t="shared" ca="1" si="66"/>
        <v>-0.19667558259101361</v>
      </c>
      <c r="E173" s="307">
        <f t="shared" ca="1" si="67"/>
        <v>-10.776104178224349</v>
      </c>
      <c r="F173" s="304">
        <f t="shared" ca="1" si="68"/>
        <v>10.777898800078416</v>
      </c>
      <c r="G173" s="306">
        <f t="shared" ca="1" si="69"/>
        <v>38.792377623488946</v>
      </c>
      <c r="H173" s="307">
        <f t="shared" ca="1" si="70"/>
        <v>190.45670915108659</v>
      </c>
      <c r="I173" s="304">
        <f t="shared" ca="1" si="71"/>
        <v>194.36719533487371</v>
      </c>
      <c r="J173" s="306">
        <f t="shared" ca="1" si="72"/>
        <v>34.313882551425046</v>
      </c>
      <c r="K173" s="307">
        <f t="shared" ca="1" si="73"/>
        <v>175.06582340779886</v>
      </c>
      <c r="L173" s="304">
        <f t="shared" ca="1" si="58"/>
        <v>178.39698725371906</v>
      </c>
      <c r="M173" s="306">
        <f t="shared" ca="1" si="74"/>
        <v>1.3698640405763338</v>
      </c>
      <c r="N173" s="304">
        <f t="shared" ca="1" si="75"/>
        <v>78.487428031761681</v>
      </c>
      <c r="P173" s="310">
        <f t="shared" ca="1" si="76"/>
        <v>21</v>
      </c>
      <c r="Q173" s="304">
        <f t="shared" ca="1" si="77"/>
        <v>132.67499999998114</v>
      </c>
      <c r="R173" s="306">
        <f t="shared" ca="1" si="78"/>
        <v>6.5200707081196935E-2</v>
      </c>
      <c r="S173" s="307">
        <f t="shared" ca="1" si="79"/>
        <v>8.550165366782986</v>
      </c>
      <c r="T173" s="304">
        <f t="shared" ca="1" si="59"/>
        <v>83.877122248141092</v>
      </c>
      <c r="U173" s="311">
        <f t="shared" ca="1" si="60"/>
        <v>0</v>
      </c>
      <c r="V173" s="306">
        <f t="shared" ca="1" si="61"/>
        <v>1.2037405269899308</v>
      </c>
      <c r="W173" s="304">
        <f t="shared" ca="1" si="62"/>
        <v>140.92416799183749</v>
      </c>
      <c r="Y173" s="314" t="str">
        <f t="shared" ca="1" si="80"/>
        <v/>
      </c>
      <c r="Z173" s="315" t="str">
        <f t="shared" ca="1" si="81"/>
        <v/>
      </c>
      <c r="AA173" s="316" t="str">
        <f t="shared" ca="1" si="82"/>
        <v/>
      </c>
      <c r="AC173" s="310" t="e">
        <f t="shared" ca="1" si="83"/>
        <v>#N/A</v>
      </c>
      <c r="AD173" s="323" t="e">
        <f t="shared" ca="1" si="84"/>
        <v>#N/A</v>
      </c>
      <c r="AE173" s="324">
        <f t="shared" ca="1" si="63"/>
        <v>175.06582340779886</v>
      </c>
      <c r="AG173" s="306">
        <f t="shared" ca="1" si="85"/>
        <v>-10.598749216867681</v>
      </c>
      <c r="AH173" s="304">
        <f t="shared" ca="1" si="86"/>
        <v>-0.98592016308119856</v>
      </c>
    </row>
    <row r="174" spans="1:34" x14ac:dyDescent="0.3">
      <c r="A174" s="347">
        <f t="shared" ca="1" si="64"/>
        <v>0.01</v>
      </c>
      <c r="B174" s="304">
        <f t="shared" ca="1" si="65"/>
        <v>1.7000000000000013</v>
      </c>
      <c r="D174" s="306">
        <f t="shared" ca="1" si="66"/>
        <v>-2.504104628407164</v>
      </c>
      <c r="E174" s="307">
        <f t="shared" ca="1" si="67"/>
        <v>-22.104258720755844</v>
      </c>
      <c r="F174" s="304">
        <f t="shared" ca="1" si="68"/>
        <v>22.24564662094858</v>
      </c>
      <c r="G174" s="306">
        <f t="shared" ca="1" si="69"/>
        <v>38.767336577204873</v>
      </c>
      <c r="H174" s="307">
        <f t="shared" ca="1" si="70"/>
        <v>190.23566656387902</v>
      </c>
      <c r="I174" s="304">
        <f t="shared" ca="1" si="71"/>
        <v>194.1456031392255</v>
      </c>
      <c r="J174" s="306">
        <f t="shared" ca="1" si="72"/>
        <v>34.701681122428518</v>
      </c>
      <c r="K174" s="307">
        <f t="shared" ca="1" si="73"/>
        <v>176.96928528637369</v>
      </c>
      <c r="L174" s="304">
        <f t="shared" ca="1" si="58"/>
        <v>180.33949819019855</v>
      </c>
      <c r="M174" s="306">
        <f t="shared" ca="1" si="74"/>
        <v>1.3697631931360292</v>
      </c>
      <c r="N174" s="304">
        <f t="shared" ca="1" si="75"/>
        <v>78.48164989905753</v>
      </c>
      <c r="P174" s="310">
        <f t="shared" ca="1" si="76"/>
        <v>22</v>
      </c>
      <c r="Q174" s="304">
        <f t="shared" ca="1" si="77"/>
        <v>33.649999999990285</v>
      </c>
      <c r="R174" s="306">
        <f t="shared" ca="1" si="78"/>
        <v>1.6536678298714566E-2</v>
      </c>
      <c r="S174" s="307">
        <f t="shared" ca="1" si="79"/>
        <v>8.5499999999999989</v>
      </c>
      <c r="T174" s="304">
        <f t="shared" ca="1" si="59"/>
        <v>83.875499999999988</v>
      </c>
      <c r="U174" s="311">
        <f t="shared" ca="1" si="60"/>
        <v>0</v>
      </c>
      <c r="V174" s="306">
        <f t="shared" ca="1" si="61"/>
        <v>1.203511403629494</v>
      </c>
      <c r="W174" s="304">
        <f t="shared" ca="1" si="62"/>
        <v>140.576261569971</v>
      </c>
      <c r="Y174" s="314" t="str">
        <f t="shared" ca="1" si="80"/>
        <v/>
      </c>
      <c r="Z174" s="315" t="str">
        <f t="shared" ca="1" si="81"/>
        <v/>
      </c>
      <c r="AA174" s="316" t="str">
        <f t="shared" ca="1" si="82"/>
        <v/>
      </c>
      <c r="AC174" s="310" t="e">
        <f t="shared" ca="1" si="83"/>
        <v>#N/A</v>
      </c>
      <c r="AD174" s="323" t="e">
        <f t="shared" ca="1" si="84"/>
        <v>#N/A</v>
      </c>
      <c r="AE174" s="324">
        <f t="shared" ca="1" si="63"/>
        <v>176.96928528637369</v>
      </c>
      <c r="AG174" s="306">
        <f t="shared" ca="1" si="85"/>
        <v>-22.159318289862075</v>
      </c>
      <c r="AH174" s="304">
        <f t="shared" ca="1" si="86"/>
        <v>-12.546686314835933</v>
      </c>
    </row>
    <row r="175" spans="1:34" x14ac:dyDescent="0.3">
      <c r="A175" s="347">
        <f t="shared" ca="1" si="64"/>
        <v>0.01</v>
      </c>
      <c r="B175" s="304">
        <f t="shared" ca="1" si="65"/>
        <v>1.7100000000000013</v>
      </c>
      <c r="D175" s="306">
        <f t="shared" ca="1" si="66"/>
        <v>-3.2831012791994496</v>
      </c>
      <c r="E175" s="307">
        <f t="shared" ca="1" si="67"/>
        <v>-25.920546026328594</v>
      </c>
      <c r="F175" s="304">
        <f t="shared" ca="1" si="68"/>
        <v>26.127637863237851</v>
      </c>
      <c r="G175" s="306">
        <f t="shared" ca="1" si="69"/>
        <v>38.734505564412878</v>
      </c>
      <c r="H175" s="307">
        <f t="shared" ca="1" si="70"/>
        <v>189.97646110361575</v>
      </c>
      <c r="I175" s="304">
        <f t="shared" ca="1" si="71"/>
        <v>193.88506310382232</v>
      </c>
      <c r="J175" s="306">
        <f t="shared" ca="1" si="72"/>
        <v>35.089190333136607</v>
      </c>
      <c r="K175" s="307">
        <f t="shared" ca="1" si="73"/>
        <v>178.87034592471116</v>
      </c>
      <c r="L175" s="304">
        <f t="shared" ca="1" si="58"/>
        <v>182.27959822607937</v>
      </c>
      <c r="M175" s="306">
        <f t="shared" ca="1" si="74"/>
        <v>1.3696621601796826</v>
      </c>
      <c r="N175" s="304">
        <f t="shared" ca="1" si="75"/>
        <v>78.475861137067142</v>
      </c>
      <c r="P175" s="310">
        <f t="shared" ca="1" si="76"/>
        <v>23</v>
      </c>
      <c r="Q175" s="304">
        <f t="shared" ca="1" si="77"/>
        <v>0</v>
      </c>
      <c r="R175" s="306">
        <f t="shared" ca="1" si="78"/>
        <v>0</v>
      </c>
      <c r="S175" s="307">
        <f t="shared" ca="1" si="79"/>
        <v>8.5499999999999989</v>
      </c>
      <c r="T175" s="304">
        <f t="shared" ca="1" si="59"/>
        <v>83.875499999999988</v>
      </c>
      <c r="U175" s="311">
        <f t="shared" ca="1" si="60"/>
        <v>0</v>
      </c>
      <c r="V175" s="306">
        <f t="shared" ca="1" si="61"/>
        <v>1.2032826124553575</v>
      </c>
      <c r="W175" s="304">
        <f t="shared" ca="1" si="62"/>
        <v>140.17256062546016</v>
      </c>
      <c r="Y175" s="314" t="str">
        <f t="shared" ca="1" si="80"/>
        <v>Fin de propulsion</v>
      </c>
      <c r="Z175" s="315" t="str">
        <f t="shared" ca="1" si="81"/>
        <v/>
      </c>
      <c r="AA175" s="316" t="str">
        <f t="shared" ca="1" si="82"/>
        <v/>
      </c>
      <c r="AC175" s="310" t="e">
        <f t="shared" ca="1" si="83"/>
        <v>#N/A</v>
      </c>
      <c r="AD175" s="323" t="e">
        <f t="shared" ca="1" si="84"/>
        <v>#N/A</v>
      </c>
      <c r="AE175" s="324">
        <f t="shared" ca="1" si="63"/>
        <v>178.87034592471116</v>
      </c>
      <c r="AG175" s="306">
        <f t="shared" ca="1" si="85"/>
        <v>-26.054102495943255</v>
      </c>
      <c r="AH175" s="304">
        <f t="shared" ca="1" si="86"/>
        <v>-16.44166801987965</v>
      </c>
    </row>
    <row r="176" spans="1:34" x14ac:dyDescent="0.3">
      <c r="A176" s="347">
        <f t="shared" ca="1" si="64"/>
        <v>0.01</v>
      </c>
      <c r="B176" s="304">
        <f t="shared" ca="1" si="65"/>
        <v>1.7200000000000013</v>
      </c>
      <c r="D176" s="306">
        <f t="shared" ca="1" si="66"/>
        <v>-3.2752960132539362</v>
      </c>
      <c r="E176" s="307">
        <f t="shared" ca="1" si="67"/>
        <v>-25.87394961283394</v>
      </c>
      <c r="F176" s="304">
        <f t="shared" ca="1" si="68"/>
        <v>26.080430068193021</v>
      </c>
      <c r="G176" s="306">
        <f t="shared" ca="1" si="69"/>
        <v>38.701752604280337</v>
      </c>
      <c r="H176" s="307">
        <f t="shared" ca="1" si="70"/>
        <v>189.71772160748742</v>
      </c>
      <c r="I176" s="304">
        <f t="shared" ca="1" si="71"/>
        <v>193.62499721518142</v>
      </c>
      <c r="J176" s="306">
        <f t="shared" ca="1" si="72"/>
        <v>35.476371623980071</v>
      </c>
      <c r="K176" s="307">
        <f t="shared" ca="1" si="73"/>
        <v>180.76881683826667</v>
      </c>
      <c r="L176" s="304">
        <f t="shared" ca="1" si="58"/>
        <v>184.21709498499195</v>
      </c>
      <c r="M176" s="306">
        <f t="shared" ca="1" si="74"/>
        <v>1.3695609413648311</v>
      </c>
      <c r="N176" s="304">
        <f t="shared" ca="1" si="75"/>
        <v>78.470061726168836</v>
      </c>
      <c r="P176" s="310">
        <f t="shared" ca="1" si="76"/>
        <v>23</v>
      </c>
      <c r="Q176" s="304">
        <f t="shared" ca="1" si="77"/>
        <v>0</v>
      </c>
      <c r="R176" s="306">
        <f t="shared" ca="1" si="78"/>
        <v>0</v>
      </c>
      <c r="S176" s="307">
        <f t="shared" ca="1" si="79"/>
        <v>8.5499999999999989</v>
      </c>
      <c r="T176" s="304">
        <f t="shared" ca="1" si="59"/>
        <v>83.875499999999988</v>
      </c>
      <c r="U176" s="311">
        <f t="shared" ca="1" si="60"/>
        <v>0</v>
      </c>
      <c r="V176" s="306">
        <f t="shared" ca="1" si="61"/>
        <v>1.2030541759695388</v>
      </c>
      <c r="W176" s="304">
        <f t="shared" ca="1" si="62"/>
        <v>139.77023491922128</v>
      </c>
      <c r="Y176" s="314" t="str">
        <f t="shared" ca="1" si="80"/>
        <v/>
      </c>
      <c r="Z176" s="315" t="str">
        <f t="shared" ca="1" si="81"/>
        <v/>
      </c>
      <c r="AA176" s="316" t="str">
        <f t="shared" ca="1" si="82"/>
        <v/>
      </c>
      <c r="AC176" s="310" t="e">
        <f t="shared" ca="1" si="83"/>
        <v>#N/A</v>
      </c>
      <c r="AD176" s="323" t="e">
        <f t="shared" ca="1" si="84"/>
        <v>#N/A</v>
      </c>
      <c r="AE176" s="324">
        <f t="shared" ca="1" si="63"/>
        <v>180.76881683826667</v>
      </c>
      <c r="AG176" s="306">
        <f t="shared" ca="1" si="85"/>
        <v>-26.006688050898848</v>
      </c>
      <c r="AH176" s="304">
        <f t="shared" ca="1" si="86"/>
        <v>-16.394451535141542</v>
      </c>
    </row>
    <row r="177" spans="1:34" x14ac:dyDescent="0.3">
      <c r="A177" s="347">
        <f t="shared" ca="1" si="64"/>
        <v>0.01</v>
      </c>
      <c r="B177" s="304">
        <f t="shared" ca="1" si="65"/>
        <v>1.7300000000000013</v>
      </c>
      <c r="D177" s="306">
        <f t="shared" ca="1" si="66"/>
        <v>-3.2675164923371431</v>
      </c>
      <c r="E177" s="307">
        <f t="shared" ca="1" si="67"/>
        <v>-25.827511934912522</v>
      </c>
      <c r="F177" s="304">
        <f t="shared" ca="1" si="68"/>
        <v>26.033383121979057</v>
      </c>
      <c r="G177" s="306">
        <f t="shared" ca="1" si="69"/>
        <v>38.669077439356968</v>
      </c>
      <c r="H177" s="307">
        <f t="shared" ca="1" si="70"/>
        <v>189.4594464881383</v>
      </c>
      <c r="I177" s="304">
        <f t="shared" ca="1" si="71"/>
        <v>193.36540386946868</v>
      </c>
      <c r="J177" s="306">
        <f t="shared" ca="1" si="72"/>
        <v>35.863225774198256</v>
      </c>
      <c r="K177" s="307">
        <f t="shared" ca="1" si="73"/>
        <v>182.66470267874479</v>
      </c>
      <c r="L177" s="304">
        <f t="shared" ca="1" si="58"/>
        <v>186.15199318740949</v>
      </c>
      <c r="M177" s="306">
        <f t="shared" ca="1" si="74"/>
        <v>1.3694595363479927</v>
      </c>
      <c r="N177" s="304">
        <f t="shared" ca="1" si="75"/>
        <v>78.464251646682541</v>
      </c>
      <c r="P177" s="310">
        <f t="shared" ca="1" si="76"/>
        <v>23</v>
      </c>
      <c r="Q177" s="304">
        <f t="shared" ca="1" si="77"/>
        <v>0</v>
      </c>
      <c r="R177" s="306">
        <f t="shared" ca="1" si="78"/>
        <v>0</v>
      </c>
      <c r="S177" s="307">
        <f t="shared" ca="1" si="79"/>
        <v>8.5499999999999989</v>
      </c>
      <c r="T177" s="304">
        <f t="shared" ca="1" si="59"/>
        <v>83.875499999999988</v>
      </c>
      <c r="U177" s="311">
        <f t="shared" ca="1" si="60"/>
        <v>0</v>
      </c>
      <c r="V177" s="306">
        <f t="shared" ca="1" si="61"/>
        <v>1.2028260934244466</v>
      </c>
      <c r="W177" s="304">
        <f t="shared" ca="1" si="62"/>
        <v>139.36927828435716</v>
      </c>
      <c r="Y177" s="314" t="str">
        <f t="shared" ca="1" si="80"/>
        <v/>
      </c>
      <c r="Z177" s="315" t="str">
        <f t="shared" ca="1" si="81"/>
        <v/>
      </c>
      <c r="AA177" s="316" t="str">
        <f t="shared" ca="1" si="82"/>
        <v/>
      </c>
      <c r="AC177" s="310" t="e">
        <f t="shared" ca="1" si="83"/>
        <v>#N/A</v>
      </c>
      <c r="AD177" s="323" t="e">
        <f t="shared" ca="1" si="84"/>
        <v>#N/A</v>
      </c>
      <c r="AE177" s="324">
        <f t="shared" ca="1" si="63"/>
        <v>182.66470267874479</v>
      </c>
      <c r="AG177" s="306">
        <f t="shared" ca="1" si="85"/>
        <v>-25.959433989882214</v>
      </c>
      <c r="AH177" s="304">
        <f t="shared" ca="1" si="86"/>
        <v>-16.347395896984946</v>
      </c>
    </row>
    <row r="178" spans="1:34" x14ac:dyDescent="0.3">
      <c r="A178" s="347">
        <f t="shared" ca="1" si="64"/>
        <v>0.01</v>
      </c>
      <c r="B178" s="304">
        <f t="shared" ca="1" si="65"/>
        <v>1.7400000000000013</v>
      </c>
      <c r="D178" s="306">
        <f t="shared" ca="1" si="66"/>
        <v>-3.2597625999317801</v>
      </c>
      <c r="E178" s="307">
        <f t="shared" ca="1" si="67"/>
        <v>-25.781232280737843</v>
      </c>
      <c r="F178" s="304">
        <f t="shared" ca="1" si="68"/>
        <v>25.986496303297084</v>
      </c>
      <c r="G178" s="306">
        <f t="shared" ca="1" si="69"/>
        <v>38.636479813357653</v>
      </c>
      <c r="H178" s="307">
        <f t="shared" ca="1" si="70"/>
        <v>189.20163416533092</v>
      </c>
      <c r="I178" s="304">
        <f t="shared" ca="1" si="71"/>
        <v>193.10628147007469</v>
      </c>
      <c r="J178" s="306">
        <f t="shared" ca="1" si="72"/>
        <v>36.249753560461826</v>
      </c>
      <c r="K178" s="307">
        <f t="shared" ca="1" si="73"/>
        <v>184.55800808201212</v>
      </c>
      <c r="L178" s="304">
        <f t="shared" ca="1" si="58"/>
        <v>188.08429753808335</v>
      </c>
      <c r="M178" s="306">
        <f t="shared" ca="1" si="74"/>
        <v>1.3693579447846622</v>
      </c>
      <c r="N178" s="304">
        <f t="shared" ca="1" si="75"/>
        <v>78.458430878869564</v>
      </c>
      <c r="P178" s="310">
        <f t="shared" ca="1" si="76"/>
        <v>23</v>
      </c>
      <c r="Q178" s="304">
        <f t="shared" ca="1" si="77"/>
        <v>0</v>
      </c>
      <c r="R178" s="306">
        <f t="shared" ca="1" si="78"/>
        <v>0</v>
      </c>
      <c r="S178" s="307">
        <f t="shared" ca="1" si="79"/>
        <v>8.5499999999999989</v>
      </c>
      <c r="T178" s="304">
        <f t="shared" ca="1" si="59"/>
        <v>83.875499999999988</v>
      </c>
      <c r="U178" s="311">
        <f t="shared" ca="1" si="60"/>
        <v>0</v>
      </c>
      <c r="V178" s="306">
        <f t="shared" ca="1" si="61"/>
        <v>1.2025983640751572</v>
      </c>
      <c r="W178" s="304">
        <f t="shared" ca="1" si="62"/>
        <v>138.96968458896814</v>
      </c>
      <c r="Y178" s="314" t="str">
        <f t="shared" ca="1" si="80"/>
        <v/>
      </c>
      <c r="Z178" s="315" t="str">
        <f t="shared" ca="1" si="81"/>
        <v/>
      </c>
      <c r="AA178" s="316" t="str">
        <f t="shared" ca="1" si="82"/>
        <v/>
      </c>
      <c r="AC178" s="310" t="e">
        <f t="shared" ca="1" si="83"/>
        <v>#N/A</v>
      </c>
      <c r="AD178" s="323" t="e">
        <f t="shared" ca="1" si="84"/>
        <v>#N/A</v>
      </c>
      <c r="AE178" s="324">
        <f t="shared" ca="1" si="63"/>
        <v>184.55800808201212</v>
      </c>
      <c r="AG178" s="306">
        <f t="shared" ca="1" si="85"/>
        <v>-25.912339590404542</v>
      </c>
      <c r="AH178" s="304">
        <f t="shared" ca="1" si="86"/>
        <v>-16.300500384135344</v>
      </c>
    </row>
    <row r="179" spans="1:34" x14ac:dyDescent="0.3">
      <c r="A179" s="347">
        <f t="shared" ca="1" si="64"/>
        <v>0.01</v>
      </c>
      <c r="B179" s="304">
        <f t="shared" ca="1" si="65"/>
        <v>1.7500000000000013</v>
      </c>
      <c r="D179" s="306">
        <f t="shared" ca="1" si="66"/>
        <v>-3.2520342201808359</v>
      </c>
      <c r="E179" s="307">
        <f t="shared" ca="1" si="67"/>
        <v>-25.735109942523017</v>
      </c>
      <c r="F179" s="304">
        <f t="shared" ca="1" si="68"/>
        <v>25.939768894941494</v>
      </c>
      <c r="G179" s="306">
        <f t="shared" ca="1" si="69"/>
        <v>38.603959471155846</v>
      </c>
      <c r="H179" s="307">
        <f t="shared" ca="1" si="70"/>
        <v>188.94428306590569</v>
      </c>
      <c r="I179" s="304">
        <f t="shared" ca="1" si="71"/>
        <v>192.84762842757425</v>
      </c>
      <c r="J179" s="306">
        <f t="shared" ca="1" si="72"/>
        <v>36.635955756884393</v>
      </c>
      <c r="K179" s="307">
        <f t="shared" ca="1" si="73"/>
        <v>186.44873766816829</v>
      </c>
      <c r="L179" s="304">
        <f t="shared" ca="1" si="58"/>
        <v>190.01401272609826</v>
      </c>
      <c r="M179" s="306">
        <f t="shared" ca="1" si="74"/>
        <v>1.3692561663293079</v>
      </c>
      <c r="N179" s="304">
        <f t="shared" ca="1" si="75"/>
        <v>78.452599402932407</v>
      </c>
      <c r="P179" s="310">
        <f t="shared" ca="1" si="76"/>
        <v>23</v>
      </c>
      <c r="Q179" s="304">
        <f t="shared" ca="1" si="77"/>
        <v>0</v>
      </c>
      <c r="R179" s="306">
        <f t="shared" ca="1" si="78"/>
        <v>0</v>
      </c>
      <c r="S179" s="307">
        <f t="shared" ca="1" si="79"/>
        <v>8.5499999999999989</v>
      </c>
      <c r="T179" s="304">
        <f t="shared" ca="1" si="59"/>
        <v>83.875499999999988</v>
      </c>
      <c r="U179" s="311">
        <f t="shared" ca="1" si="60"/>
        <v>0</v>
      </c>
      <c r="V179" s="306">
        <f t="shared" ca="1" si="61"/>
        <v>1.2023709871794035</v>
      </c>
      <c r="W179" s="304">
        <f t="shared" ca="1" si="62"/>
        <v>138.57144773591386</v>
      </c>
      <c r="Y179" s="314" t="str">
        <f t="shared" ca="1" si="80"/>
        <v/>
      </c>
      <c r="Z179" s="315" t="str">
        <f t="shared" ca="1" si="81"/>
        <v/>
      </c>
      <c r="AA179" s="316" t="str">
        <f t="shared" ca="1" si="82"/>
        <v/>
      </c>
      <c r="AC179" s="310" t="e">
        <f t="shared" ca="1" si="83"/>
        <v>#N/A</v>
      </c>
      <c r="AD179" s="323" t="e">
        <f t="shared" ca="1" si="84"/>
        <v>#N/A</v>
      </c>
      <c r="AE179" s="324">
        <f t="shared" ca="1" si="63"/>
        <v>186.44873766816829</v>
      </c>
      <c r="AG179" s="306">
        <f t="shared" ca="1" si="85"/>
        <v>-25.865404134065962</v>
      </c>
      <c r="AH179" s="304">
        <f t="shared" ca="1" si="86"/>
        <v>-16.253764279411481</v>
      </c>
    </row>
    <row r="180" spans="1:34" x14ac:dyDescent="0.3">
      <c r="A180" s="347">
        <f t="shared" ca="1" si="64"/>
        <v>0.01</v>
      </c>
      <c r="B180" s="304">
        <f t="shared" ca="1" si="65"/>
        <v>1.7600000000000013</v>
      </c>
      <c r="D180" s="306">
        <f t="shared" ca="1" si="66"/>
        <v>-3.2443312378831028</v>
      </c>
      <c r="E180" s="307">
        <f t="shared" ca="1" si="67"/>
        <v>-25.689144216493276</v>
      </c>
      <c r="F180" s="304">
        <f t="shared" ca="1" si="68"/>
        <v>25.89320018377207</v>
      </c>
      <c r="G180" s="306">
        <f t="shared" ca="1" si="69"/>
        <v>38.571516158777015</v>
      </c>
      <c r="H180" s="307">
        <f t="shared" ca="1" si="70"/>
        <v>188.68739162374075</v>
      </c>
      <c r="I180" s="304">
        <f t="shared" ca="1" si="71"/>
        <v>192.58944315968543</v>
      </c>
      <c r="J180" s="306">
        <f t="shared" ca="1" si="72"/>
        <v>37.021833135034058</v>
      </c>
      <c r="K180" s="307">
        <f t="shared" ca="1" si="73"/>
        <v>188.33689604161651</v>
      </c>
      <c r="L180" s="304">
        <f t="shared" ca="1" si="58"/>
        <v>191.94114342492847</v>
      </c>
      <c r="M180" s="306">
        <f t="shared" ca="1" si="74"/>
        <v>1.3691542006353687</v>
      </c>
      <c r="N180" s="304">
        <f t="shared" ca="1" si="75"/>
        <v>78.44675719901457</v>
      </c>
      <c r="P180" s="310">
        <f t="shared" ca="1" si="76"/>
        <v>23</v>
      </c>
      <c r="Q180" s="304">
        <f t="shared" ca="1" si="77"/>
        <v>0</v>
      </c>
      <c r="R180" s="306">
        <f t="shared" ca="1" si="78"/>
        <v>0</v>
      </c>
      <c r="S180" s="307">
        <f t="shared" ca="1" si="79"/>
        <v>8.5499999999999989</v>
      </c>
      <c r="T180" s="304">
        <f t="shared" ca="1" si="59"/>
        <v>83.875499999999988</v>
      </c>
      <c r="U180" s="311">
        <f t="shared" ca="1" si="60"/>
        <v>0</v>
      </c>
      <c r="V180" s="306">
        <f t="shared" ca="1" si="61"/>
        <v>1.2021439619975616</v>
      </c>
      <c r="W180" s="304">
        <f t="shared" ca="1" si="62"/>
        <v>138.17456166257588</v>
      </c>
      <c r="Y180" s="314" t="str">
        <f t="shared" ca="1" si="80"/>
        <v/>
      </c>
      <c r="Z180" s="315" t="str">
        <f t="shared" ca="1" si="81"/>
        <v/>
      </c>
      <c r="AA180" s="316" t="str">
        <f t="shared" ca="1" si="82"/>
        <v/>
      </c>
      <c r="AC180" s="310" t="e">
        <f t="shared" ca="1" si="83"/>
        <v>#N/A</v>
      </c>
      <c r="AD180" s="323" t="e">
        <f t="shared" ca="1" si="84"/>
        <v>#N/A</v>
      </c>
      <c r="AE180" s="324">
        <f t="shared" ca="1" si="63"/>
        <v>188.33689604161651</v>
      </c>
      <c r="AG180" s="306">
        <f t="shared" ca="1" si="85"/>
        <v>-25.818626906527697</v>
      </c>
      <c r="AH180" s="304">
        <f t="shared" ca="1" si="86"/>
        <v>-16.20718686969753</v>
      </c>
    </row>
    <row r="181" spans="1:34" x14ac:dyDescent="0.3">
      <c r="A181" s="347">
        <f t="shared" ca="1" si="64"/>
        <v>0.01</v>
      </c>
      <c r="B181" s="304">
        <f t="shared" ca="1" si="65"/>
        <v>1.7700000000000014</v>
      </c>
      <c r="D181" s="306">
        <f t="shared" ca="1" si="66"/>
        <v>-3.2366535384886777</v>
      </c>
      <c r="E181" s="307">
        <f t="shared" ca="1" si="67"/>
        <v>-25.643334402858571</v>
      </c>
      <c r="F181" s="304">
        <f t="shared" ca="1" si="68"/>
        <v>25.846789460686239</v>
      </c>
      <c r="G181" s="306">
        <f t="shared" ca="1" si="69"/>
        <v>38.539149623392127</v>
      </c>
      <c r="H181" s="307">
        <f t="shared" ca="1" si="70"/>
        <v>188.43095827971217</v>
      </c>
      <c r="I181" s="304">
        <f t="shared" ca="1" si="71"/>
        <v>192.33172409122952</v>
      </c>
      <c r="J181" s="306">
        <f t="shared" ca="1" si="72"/>
        <v>37.407386463944903</v>
      </c>
      <c r="K181" s="307">
        <f t="shared" ca="1" si="73"/>
        <v>190.22248779113377</v>
      </c>
      <c r="L181" s="304">
        <f t="shared" ca="1" si="58"/>
        <v>193.86569429249457</v>
      </c>
      <c r="M181" s="306">
        <f t="shared" ca="1" si="74"/>
        <v>1.3690520473552505</v>
      </c>
      <c r="N181" s="304">
        <f t="shared" ca="1" si="75"/>
        <v>78.440904247200379</v>
      </c>
      <c r="P181" s="310">
        <f t="shared" ca="1" si="76"/>
        <v>23</v>
      </c>
      <c r="Q181" s="304">
        <f t="shared" ca="1" si="77"/>
        <v>0</v>
      </c>
      <c r="R181" s="306">
        <f t="shared" ca="1" si="78"/>
        <v>0</v>
      </c>
      <c r="S181" s="307">
        <f t="shared" ca="1" si="79"/>
        <v>8.5499999999999989</v>
      </c>
      <c r="T181" s="304">
        <f t="shared" ca="1" si="59"/>
        <v>83.875499999999988</v>
      </c>
      <c r="U181" s="311">
        <f t="shared" ca="1" si="60"/>
        <v>0</v>
      </c>
      <c r="V181" s="306">
        <f t="shared" ca="1" si="61"/>
        <v>1.201917287792639</v>
      </c>
      <c r="W181" s="304">
        <f t="shared" ca="1" si="62"/>
        <v>137.77902034062294</v>
      </c>
      <c r="Y181" s="314" t="str">
        <f t="shared" ca="1" si="80"/>
        <v/>
      </c>
      <c r="Z181" s="315" t="str">
        <f t="shared" ca="1" si="81"/>
        <v/>
      </c>
      <c r="AA181" s="316" t="str">
        <f t="shared" ca="1" si="82"/>
        <v/>
      </c>
      <c r="AC181" s="310" t="e">
        <f t="shared" ca="1" si="83"/>
        <v>#N/A</v>
      </c>
      <c r="AD181" s="323" t="e">
        <f t="shared" ca="1" si="84"/>
        <v>#N/A</v>
      </c>
      <c r="AE181" s="324">
        <f t="shared" ca="1" si="63"/>
        <v>190.22248779113377</v>
      </c>
      <c r="AG181" s="306">
        <f t="shared" ca="1" si="85"/>
        <v>-25.772007197484257</v>
      </c>
      <c r="AH181" s="304">
        <f t="shared" ca="1" si="86"/>
        <v>-16.160767445915312</v>
      </c>
    </row>
    <row r="182" spans="1:34" x14ac:dyDescent="0.3">
      <c r="A182" s="347">
        <f t="shared" ca="1" si="64"/>
        <v>0.01</v>
      </c>
      <c r="B182" s="304">
        <f t="shared" ca="1" si="65"/>
        <v>1.7800000000000014</v>
      </c>
      <c r="D182" s="306">
        <f t="shared" ca="1" si="66"/>
        <v>-3.2290010080945395</v>
      </c>
      <c r="E182" s="307">
        <f t="shared" ca="1" si="67"/>
        <v>-25.597679805786463</v>
      </c>
      <c r="F182" s="304">
        <f t="shared" ca="1" si="68"/>
        <v>25.800536020591583</v>
      </c>
      <c r="G182" s="306">
        <f t="shared" ca="1" si="69"/>
        <v>38.506859613311185</v>
      </c>
      <c r="H182" s="307">
        <f t="shared" ca="1" si="70"/>
        <v>188.1749814816543</v>
      </c>
      <c r="I182" s="304">
        <f t="shared" ca="1" si="71"/>
        <v>192.07446965409065</v>
      </c>
      <c r="J182" s="306">
        <f t="shared" ca="1" si="72"/>
        <v>37.792616510128418</v>
      </c>
      <c r="K182" s="307">
        <f t="shared" ca="1" si="73"/>
        <v>192.10551748994061</v>
      </c>
      <c r="L182" s="304">
        <f t="shared" ca="1" si="58"/>
        <v>195.78766997122037</v>
      </c>
      <c r="M182" s="306">
        <f t="shared" ca="1" si="74"/>
        <v>1.3689497061403229</v>
      </c>
      <c r="N182" s="304">
        <f t="shared" ca="1" si="75"/>
        <v>78.435040527514772</v>
      </c>
      <c r="P182" s="310">
        <f t="shared" ca="1" si="76"/>
        <v>23</v>
      </c>
      <c r="Q182" s="304">
        <f t="shared" ca="1" si="77"/>
        <v>0</v>
      </c>
      <c r="R182" s="306">
        <f t="shared" ca="1" si="78"/>
        <v>0</v>
      </c>
      <c r="S182" s="307">
        <f t="shared" ca="1" si="79"/>
        <v>8.5499999999999989</v>
      </c>
      <c r="T182" s="304">
        <f t="shared" ca="1" si="59"/>
        <v>83.875499999999988</v>
      </c>
      <c r="U182" s="311">
        <f t="shared" ca="1" si="60"/>
        <v>0</v>
      </c>
      <c r="V182" s="306">
        <f t="shared" ca="1" si="61"/>
        <v>1.2016909638302613</v>
      </c>
      <c r="W182" s="304">
        <f t="shared" ca="1" si="62"/>
        <v>137.38481777577704</v>
      </c>
      <c r="Y182" s="314" t="str">
        <f t="shared" ca="1" si="80"/>
        <v/>
      </c>
      <c r="Z182" s="315" t="str">
        <f t="shared" ca="1" si="81"/>
        <v/>
      </c>
      <c r="AA182" s="316" t="str">
        <f t="shared" ca="1" si="82"/>
        <v/>
      </c>
      <c r="AC182" s="310" t="e">
        <f t="shared" ca="1" si="83"/>
        <v>#N/A</v>
      </c>
      <c r="AD182" s="323" t="e">
        <f t="shared" ca="1" si="84"/>
        <v>#N/A</v>
      </c>
      <c r="AE182" s="324">
        <f t="shared" ca="1" si="63"/>
        <v>192.10551748994061</v>
      </c>
      <c r="AG182" s="306">
        <f t="shared" ca="1" si="85"/>
        <v>-25.725544300635967</v>
      </c>
      <c r="AH182" s="304">
        <f t="shared" ca="1" si="86"/>
        <v>-16.114505302996836</v>
      </c>
    </row>
    <row r="183" spans="1:34" x14ac:dyDescent="0.3">
      <c r="A183" s="347">
        <f t="shared" ca="1" si="64"/>
        <v>0.01</v>
      </c>
      <c r="B183" s="304">
        <f t="shared" ca="1" si="65"/>
        <v>1.7900000000000014</v>
      </c>
      <c r="D183" s="306">
        <f t="shared" ca="1" si="66"/>
        <v>-3.2213735334401354</v>
      </c>
      <c r="E183" s="307">
        <f t="shared" ca="1" si="67"/>
        <v>-25.552179733375134</v>
      </c>
      <c r="F183" s="304">
        <f t="shared" ca="1" si="68"/>
        <v>25.754439162378503</v>
      </c>
      <c r="G183" s="306">
        <f t="shared" ca="1" si="69"/>
        <v>38.474645877976783</v>
      </c>
      <c r="H183" s="307">
        <f t="shared" ca="1" si="70"/>
        <v>187.91945968432054</v>
      </c>
      <c r="I183" s="304">
        <f t="shared" ca="1" si="71"/>
        <v>191.81767828717636</v>
      </c>
      <c r="J183" s="306">
        <f t="shared" ca="1" si="72"/>
        <v>38.17752403758486</v>
      </c>
      <c r="K183" s="307">
        <f t="shared" ca="1" si="73"/>
        <v>193.98598969577048</v>
      </c>
      <c r="L183" s="304">
        <f t="shared" ca="1" si="58"/>
        <v>197.70707508809073</v>
      </c>
      <c r="M183" s="306">
        <f t="shared" ca="1" si="74"/>
        <v>1.3688471766409156</v>
      </c>
      <c r="N183" s="304">
        <f t="shared" ca="1" si="75"/>
        <v>78.429166019923144</v>
      </c>
      <c r="P183" s="310">
        <f t="shared" ca="1" si="76"/>
        <v>23</v>
      </c>
      <c r="Q183" s="304">
        <f t="shared" ca="1" si="77"/>
        <v>0</v>
      </c>
      <c r="R183" s="306">
        <f t="shared" ca="1" si="78"/>
        <v>0</v>
      </c>
      <c r="S183" s="307">
        <f t="shared" ca="1" si="79"/>
        <v>8.5499999999999989</v>
      </c>
      <c r="T183" s="304">
        <f t="shared" ca="1" si="59"/>
        <v>83.875499999999988</v>
      </c>
      <c r="U183" s="311">
        <f t="shared" ca="1" si="60"/>
        <v>0</v>
      </c>
      <c r="V183" s="306">
        <f t="shared" ca="1" si="61"/>
        <v>1.2014649893786622</v>
      </c>
      <c r="W183" s="304">
        <f t="shared" ca="1" si="62"/>
        <v>136.99194800758309</v>
      </c>
      <c r="Y183" s="314" t="str">
        <f t="shared" ca="1" si="80"/>
        <v/>
      </c>
      <c r="Z183" s="315" t="str">
        <f t="shared" ca="1" si="81"/>
        <v/>
      </c>
      <c r="AA183" s="316" t="str">
        <f t="shared" ca="1" si="82"/>
        <v/>
      </c>
      <c r="AC183" s="310" t="e">
        <f t="shared" ca="1" si="83"/>
        <v>#N/A</v>
      </c>
      <c r="AD183" s="323" t="e">
        <f t="shared" ca="1" si="84"/>
        <v>#N/A</v>
      </c>
      <c r="AE183" s="324">
        <f t="shared" ca="1" si="63"/>
        <v>193.98598969577048</v>
      </c>
      <c r="AG183" s="306">
        <f t="shared" ca="1" si="85"/>
        <v>-25.679237513661612</v>
      </c>
      <c r="AH183" s="304">
        <f t="shared" ca="1" si="86"/>
        <v>-16.068399739856964</v>
      </c>
    </row>
    <row r="184" spans="1:34" x14ac:dyDescent="0.3">
      <c r="A184" s="347">
        <f t="shared" ca="1" si="64"/>
        <v>0.01</v>
      </c>
      <c r="B184" s="304">
        <f t="shared" ca="1" si="65"/>
        <v>1.8000000000000014</v>
      </c>
      <c r="D184" s="306">
        <f t="shared" ca="1" si="66"/>
        <v>-3.213771001903031</v>
      </c>
      <c r="E184" s="307">
        <f t="shared" ca="1" si="67"/>
        <v>-25.506833497626808</v>
      </c>
      <c r="F184" s="304">
        <f t="shared" ca="1" si="68"/>
        <v>25.708498188893294</v>
      </c>
      <c r="G184" s="306">
        <f t="shared" ca="1" si="69"/>
        <v>38.442508167957754</v>
      </c>
      <c r="H184" s="307">
        <f t="shared" ca="1" si="70"/>
        <v>187.66439134934427</v>
      </c>
      <c r="I184" s="304">
        <f t="shared" ca="1" si="71"/>
        <v>191.56134843637778</v>
      </c>
      <c r="J184" s="306">
        <f t="shared" ca="1" si="72"/>
        <v>38.562109807814529</v>
      </c>
      <c r="K184" s="307">
        <f t="shared" ca="1" si="73"/>
        <v>195.86390895093882</v>
      </c>
      <c r="L184" s="304">
        <f t="shared" ca="1" si="58"/>
        <v>199.62391425470946</v>
      </c>
      <c r="M184" s="306">
        <f t="shared" ca="1" si="74"/>
        <v>1.3687444585063155</v>
      </c>
      <c r="N184" s="304">
        <f t="shared" ca="1" si="75"/>
        <v>78.423280704331106</v>
      </c>
      <c r="P184" s="310">
        <f t="shared" ca="1" si="76"/>
        <v>23</v>
      </c>
      <c r="Q184" s="304">
        <f t="shared" ca="1" si="77"/>
        <v>0</v>
      </c>
      <c r="R184" s="306">
        <f t="shared" ca="1" si="78"/>
        <v>0</v>
      </c>
      <c r="S184" s="307">
        <f t="shared" ca="1" si="79"/>
        <v>8.5499999999999989</v>
      </c>
      <c r="T184" s="304">
        <f t="shared" ca="1" si="59"/>
        <v>83.875499999999988</v>
      </c>
      <c r="U184" s="311">
        <f t="shared" ca="1" si="60"/>
        <v>0</v>
      </c>
      <c r="V184" s="306">
        <f t="shared" ca="1" si="61"/>
        <v>1.2012393637086693</v>
      </c>
      <c r="W184" s="304">
        <f t="shared" ca="1" si="62"/>
        <v>136.60040510917844</v>
      </c>
      <c r="Y184" s="314" t="str">
        <f t="shared" ca="1" si="80"/>
        <v/>
      </c>
      <c r="Z184" s="315" t="str">
        <f t="shared" ca="1" si="81"/>
        <v/>
      </c>
      <c r="AA184" s="316" t="str">
        <f t="shared" ca="1" si="82"/>
        <v/>
      </c>
      <c r="AC184" s="310" t="e">
        <f t="shared" ca="1" si="83"/>
        <v>#N/A</v>
      </c>
      <c r="AD184" s="323" t="e">
        <f t="shared" ca="1" si="84"/>
        <v>#N/A</v>
      </c>
      <c r="AE184" s="324">
        <f t="shared" ca="1" si="63"/>
        <v>195.86390895093882</v>
      </c>
      <c r="AG184" s="306">
        <f t="shared" ca="1" si="85"/>
        <v>-25.633086138191448</v>
      </c>
      <c r="AH184" s="304">
        <f t="shared" ca="1" si="86"/>
        <v>-16.022450059366445</v>
      </c>
    </row>
    <row r="185" spans="1:34" x14ac:dyDescent="0.3">
      <c r="A185" s="347">
        <f t="shared" ca="1" si="64"/>
        <v>0.01</v>
      </c>
      <c r="B185" s="304">
        <f t="shared" ca="1" si="65"/>
        <v>1.8100000000000014</v>
      </c>
      <c r="D185" s="306">
        <f t="shared" ca="1" si="66"/>
        <v>-3.2061933014945612</v>
      </c>
      <c r="E185" s="307">
        <f t="shared" ca="1" si="67"/>
        <v>-25.461640414421119</v>
      </c>
      <c r="F185" s="304">
        <f t="shared" ca="1" si="68"/>
        <v>25.662712406911147</v>
      </c>
      <c r="G185" s="306">
        <f t="shared" ca="1" si="69"/>
        <v>38.41044623494281</v>
      </c>
      <c r="H185" s="307">
        <f t="shared" ca="1" si="70"/>
        <v>187.40977494520007</v>
      </c>
      <c r="I185" s="304">
        <f t="shared" ca="1" si="71"/>
        <v>191.30547855453062</v>
      </c>
      <c r="J185" s="306">
        <f t="shared" ca="1" si="72"/>
        <v>38.946374579829033</v>
      </c>
      <c r="K185" s="307">
        <f t="shared" ca="1" si="73"/>
        <v>197.73927978241153</v>
      </c>
      <c r="L185" s="304">
        <f t="shared" ca="1" si="58"/>
        <v>201.53819206735776</v>
      </c>
      <c r="M185" s="306">
        <f t="shared" ca="1" si="74"/>
        <v>1.368641551384763</v>
      </c>
      <c r="N185" s="304">
        <f t="shared" ca="1" si="75"/>
        <v>78.41738456058431</v>
      </c>
      <c r="P185" s="310">
        <f t="shared" ca="1" si="76"/>
        <v>23</v>
      </c>
      <c r="Q185" s="304">
        <f t="shared" ca="1" si="77"/>
        <v>0</v>
      </c>
      <c r="R185" s="306">
        <f t="shared" ca="1" si="78"/>
        <v>0</v>
      </c>
      <c r="S185" s="307">
        <f t="shared" ca="1" si="79"/>
        <v>8.5499999999999989</v>
      </c>
      <c r="T185" s="304">
        <f t="shared" ca="1" si="59"/>
        <v>83.875499999999988</v>
      </c>
      <c r="U185" s="311">
        <f t="shared" ca="1" si="60"/>
        <v>0</v>
      </c>
      <c r="V185" s="306">
        <f t="shared" ca="1" si="61"/>
        <v>1.2010140860936926</v>
      </c>
      <c r="W185" s="304">
        <f t="shared" ca="1" si="62"/>
        <v>136.21018318706587</v>
      </c>
      <c r="Y185" s="314" t="str">
        <f t="shared" ca="1" si="80"/>
        <v/>
      </c>
      <c r="Z185" s="315" t="str">
        <f t="shared" ca="1" si="81"/>
        <v/>
      </c>
      <c r="AA185" s="316" t="str">
        <f t="shared" ca="1" si="82"/>
        <v/>
      </c>
      <c r="AC185" s="310" t="e">
        <f t="shared" ca="1" si="83"/>
        <v>#N/A</v>
      </c>
      <c r="AD185" s="323" t="e">
        <f t="shared" ca="1" si="84"/>
        <v>#N/A</v>
      </c>
      <c r="AE185" s="324">
        <f t="shared" ca="1" si="63"/>
        <v>197.73927978241153</v>
      </c>
      <c r="AG185" s="306">
        <f t="shared" ca="1" si="85"/>
        <v>-25.587089479780253</v>
      </c>
      <c r="AH185" s="304">
        <f t="shared" ca="1" si="86"/>
        <v>-15.976655568324965</v>
      </c>
    </row>
    <row r="186" spans="1:34" x14ac:dyDescent="0.3">
      <c r="A186" s="347">
        <f t="shared" ca="1" si="64"/>
        <v>0.01</v>
      </c>
      <c r="B186" s="304">
        <f t="shared" ca="1" si="65"/>
        <v>1.8200000000000014</v>
      </c>
      <c r="D186" s="306">
        <f t="shared" ca="1" si="66"/>
        <v>-3.1986403208555489</v>
      </c>
      <c r="E186" s="307">
        <f t="shared" ca="1" si="67"/>
        <v>-25.416599803488946</v>
      </c>
      <c r="F186" s="304">
        <f t="shared" ca="1" si="68"/>
        <v>25.617081127109646</v>
      </c>
      <c r="G186" s="306">
        <f t="shared" ca="1" si="69"/>
        <v>38.378459831734254</v>
      </c>
      <c r="H186" s="307">
        <f t="shared" ca="1" si="70"/>
        <v>187.15560894716518</v>
      </c>
      <c r="I186" s="304">
        <f t="shared" ca="1" si="71"/>
        <v>191.05006710137596</v>
      </c>
      <c r="J186" s="306">
        <f t="shared" ca="1" si="72"/>
        <v>39.330319110162421</v>
      </c>
      <c r="K186" s="307">
        <f t="shared" ca="1" si="73"/>
        <v>199.61210670187336</v>
      </c>
      <c r="L186" s="304">
        <f t="shared" ca="1" si="58"/>
        <v>203.44991310705268</v>
      </c>
      <c r="M186" s="306">
        <f t="shared" ca="1" si="74"/>
        <v>1.3685384549234483</v>
      </c>
      <c r="N186" s="304">
        <f t="shared" ca="1" si="75"/>
        <v>78.411477568468243</v>
      </c>
      <c r="P186" s="310">
        <f t="shared" ca="1" si="76"/>
        <v>23</v>
      </c>
      <c r="Q186" s="304">
        <f t="shared" ca="1" si="77"/>
        <v>0</v>
      </c>
      <c r="R186" s="306">
        <f t="shared" ca="1" si="78"/>
        <v>0</v>
      </c>
      <c r="S186" s="307">
        <f t="shared" ca="1" si="79"/>
        <v>8.5499999999999989</v>
      </c>
      <c r="T186" s="304">
        <f t="shared" ca="1" si="59"/>
        <v>83.875499999999988</v>
      </c>
      <c r="U186" s="311">
        <f t="shared" ca="1" si="60"/>
        <v>0</v>
      </c>
      <c r="V186" s="306">
        <f t="shared" ca="1" si="61"/>
        <v>1.2007891558097135</v>
      </c>
      <c r="W186" s="304">
        <f t="shared" ca="1" si="62"/>
        <v>135.82127638088718</v>
      </c>
      <c r="Y186" s="314" t="str">
        <f t="shared" ca="1" si="80"/>
        <v/>
      </c>
      <c r="Z186" s="315" t="str">
        <f t="shared" ca="1" si="81"/>
        <v/>
      </c>
      <c r="AA186" s="316" t="str">
        <f t="shared" ca="1" si="82"/>
        <v/>
      </c>
      <c r="AC186" s="310" t="e">
        <f t="shared" ca="1" si="83"/>
        <v>#N/A</v>
      </c>
      <c r="AD186" s="323" t="e">
        <f t="shared" ca="1" si="84"/>
        <v>#N/A</v>
      </c>
      <c r="AE186" s="324">
        <f t="shared" ca="1" si="63"/>
        <v>199.61210670187336</v>
      </c>
      <c r="AG186" s="306">
        <f t="shared" ca="1" si="85"/>
        <v>-25.541246847880743</v>
      </c>
      <c r="AH186" s="304">
        <f t="shared" ca="1" si="86"/>
        <v>-15.931015577434605</v>
      </c>
    </row>
    <row r="187" spans="1:34" x14ac:dyDescent="0.3">
      <c r="A187" s="347">
        <f t="shared" ca="1" si="64"/>
        <v>0.01</v>
      </c>
      <c r="B187" s="304">
        <f t="shared" ca="1" si="65"/>
        <v>1.8300000000000014</v>
      </c>
      <c r="D187" s="306">
        <f t="shared" ca="1" si="66"/>
        <v>-3.1911119492520301</v>
      </c>
      <c r="E187" s="307">
        <f t="shared" ca="1" si="67"/>
        <v>-25.371710988386248</v>
      </c>
      <c r="F187" s="304">
        <f t="shared" ca="1" si="68"/>
        <v>25.57160366404224</v>
      </c>
      <c r="G187" s="306">
        <f t="shared" ca="1" si="69"/>
        <v>38.346548712241734</v>
      </c>
      <c r="H187" s="307">
        <f t="shared" ca="1" si="70"/>
        <v>186.90189183728131</v>
      </c>
      <c r="I187" s="304">
        <f t="shared" ca="1" si="71"/>
        <v>190.79511254352175</v>
      </c>
      <c r="J187" s="306">
        <f t="shared" ca="1" si="72"/>
        <v>39.713944152882299</v>
      </c>
      <c r="K187" s="307">
        <f t="shared" ca="1" si="73"/>
        <v>201.4823942057956</v>
      </c>
      <c r="L187" s="304">
        <f t="shared" ca="1" si="58"/>
        <v>205.35908193960614</v>
      </c>
      <c r="M187" s="306">
        <f t="shared" ca="1" si="74"/>
        <v>1.3684351687685086</v>
      </c>
      <c r="N187" s="304">
        <f t="shared" ca="1" si="75"/>
        <v>78.405559707708065</v>
      </c>
      <c r="P187" s="310">
        <f t="shared" ca="1" si="76"/>
        <v>23</v>
      </c>
      <c r="Q187" s="304">
        <f t="shared" ca="1" si="77"/>
        <v>0</v>
      </c>
      <c r="R187" s="306">
        <f t="shared" ca="1" si="78"/>
        <v>0</v>
      </c>
      <c r="S187" s="307">
        <f t="shared" ca="1" si="79"/>
        <v>8.5499999999999989</v>
      </c>
      <c r="T187" s="304">
        <f t="shared" ca="1" si="59"/>
        <v>83.875499999999988</v>
      </c>
      <c r="U187" s="311">
        <f t="shared" ca="1" si="60"/>
        <v>0</v>
      </c>
      <c r="V187" s="306">
        <f t="shared" ca="1" si="61"/>
        <v>1.2005645721352716</v>
      </c>
      <c r="W187" s="304">
        <f t="shared" ca="1" si="62"/>
        <v>135.43367886319945</v>
      </c>
      <c r="Y187" s="314" t="str">
        <f t="shared" ca="1" si="80"/>
        <v/>
      </c>
      <c r="Z187" s="315" t="str">
        <f t="shared" ca="1" si="81"/>
        <v/>
      </c>
      <c r="AA187" s="316" t="str">
        <f t="shared" ca="1" si="82"/>
        <v/>
      </c>
      <c r="AC187" s="310" t="e">
        <f t="shared" ca="1" si="83"/>
        <v>#N/A</v>
      </c>
      <c r="AD187" s="323" t="e">
        <f t="shared" ca="1" si="84"/>
        <v>#N/A</v>
      </c>
      <c r="AE187" s="324">
        <f t="shared" ca="1" si="63"/>
        <v>201.4823942057956</v>
      </c>
      <c r="AG187" s="306">
        <f t="shared" ca="1" si="85"/>
        <v>-25.495557555817079</v>
      </c>
      <c r="AH187" s="304">
        <f t="shared" ca="1" si="86"/>
        <v>-15.885529401273358</v>
      </c>
    </row>
    <row r="188" spans="1:34" x14ac:dyDescent="0.3">
      <c r="A188" s="347">
        <f t="shared" ca="1" si="64"/>
        <v>0.01</v>
      </c>
      <c r="B188" s="304">
        <f t="shared" ca="1" si="65"/>
        <v>1.8400000000000014</v>
      </c>
      <c r="D188" s="306">
        <f t="shared" ca="1" si="66"/>
        <v>-3.1836080765710282</v>
      </c>
      <c r="E188" s="307">
        <f t="shared" ca="1" si="67"/>
        <v>-25.326973296468239</v>
      </c>
      <c r="F188" s="304">
        <f t="shared" ca="1" si="68"/>
        <v>25.526279336112101</v>
      </c>
      <c r="G188" s="306">
        <f t="shared" ca="1" si="69"/>
        <v>38.314712631476027</v>
      </c>
      <c r="H188" s="307">
        <f t="shared" ca="1" si="70"/>
        <v>186.64862210431662</v>
      </c>
      <c r="I188" s="304">
        <f t="shared" ca="1" si="71"/>
        <v>190.54061335440426</v>
      </c>
      <c r="J188" s="306">
        <f t="shared" ca="1" si="72"/>
        <v>40.097250459600886</v>
      </c>
      <c r="K188" s="307">
        <f t="shared" ca="1" si="73"/>
        <v>203.35014677550359</v>
      </c>
      <c r="L188" s="304">
        <f t="shared" ca="1" si="58"/>
        <v>207.26570311568389</v>
      </c>
      <c r="M188" s="306">
        <f t="shared" ca="1" si="74"/>
        <v>1.3683316925650242</v>
      </c>
      <c r="N188" s="304">
        <f t="shared" ca="1" si="75"/>
        <v>78.39963095796837</v>
      </c>
      <c r="P188" s="310">
        <f t="shared" ca="1" si="76"/>
        <v>23</v>
      </c>
      <c r="Q188" s="304">
        <f t="shared" ca="1" si="77"/>
        <v>0</v>
      </c>
      <c r="R188" s="306">
        <f t="shared" ca="1" si="78"/>
        <v>0</v>
      </c>
      <c r="S188" s="307">
        <f t="shared" ca="1" si="79"/>
        <v>8.5499999999999989</v>
      </c>
      <c r="T188" s="304">
        <f t="shared" ca="1" si="59"/>
        <v>83.875499999999988</v>
      </c>
      <c r="U188" s="311">
        <f t="shared" ca="1" si="60"/>
        <v>0</v>
      </c>
      <c r="V188" s="306">
        <f t="shared" ca="1" si="61"/>
        <v>1.200340334351454</v>
      </c>
      <c r="W188" s="304">
        <f t="shared" ca="1" si="62"/>
        <v>135.04738483925254</v>
      </c>
      <c r="Y188" s="314" t="str">
        <f t="shared" ca="1" si="80"/>
        <v/>
      </c>
      <c r="Z188" s="315" t="str">
        <f t="shared" ca="1" si="81"/>
        <v/>
      </c>
      <c r="AA188" s="316" t="str">
        <f t="shared" ca="1" si="82"/>
        <v/>
      </c>
      <c r="AC188" s="310" t="e">
        <f t="shared" ca="1" si="83"/>
        <v>#N/A</v>
      </c>
      <c r="AD188" s="323" t="e">
        <f t="shared" ca="1" si="84"/>
        <v>#N/A</v>
      </c>
      <c r="AE188" s="324">
        <f t="shared" ca="1" si="63"/>
        <v>203.35014677550359</v>
      </c>
      <c r="AG188" s="306">
        <f t="shared" ca="1" si="85"/>
        <v>-25.450020920758682</v>
      </c>
      <c r="AH188" s="304">
        <f t="shared" ca="1" si="86"/>
        <v>-15.840196358268942</v>
      </c>
    </row>
    <row r="189" spans="1:34" x14ac:dyDescent="0.3">
      <c r="A189" s="347">
        <f t="shared" ca="1" si="64"/>
        <v>0.01</v>
      </c>
      <c r="B189" s="304">
        <f t="shared" ca="1" si="65"/>
        <v>1.8500000000000014</v>
      </c>
      <c r="D189" s="306">
        <f t="shared" ca="1" si="66"/>
        <v>-3.1761285933163625</v>
      </c>
      <c r="E189" s="307">
        <f t="shared" ca="1" si="67"/>
        <v>-25.282386058863743</v>
      </c>
      <c r="F189" s="304">
        <f t="shared" ca="1" si="68"/>
        <v>25.481107465546106</v>
      </c>
      <c r="G189" s="306">
        <f t="shared" ca="1" si="69"/>
        <v>38.282951345542862</v>
      </c>
      <c r="H189" s="307">
        <f t="shared" ca="1" si="70"/>
        <v>186.39579824372797</v>
      </c>
      <c r="I189" s="304">
        <f t="shared" ca="1" si="71"/>
        <v>190.28656801424987</v>
      </c>
      <c r="J189" s="306">
        <f t="shared" ca="1" si="72"/>
        <v>40.48023877948598</v>
      </c>
      <c r="K189" s="307">
        <f t="shared" ca="1" si="73"/>
        <v>205.2153688772438</v>
      </c>
      <c r="L189" s="304">
        <f t="shared" ca="1" si="58"/>
        <v>209.16978117086475</v>
      </c>
      <c r="M189" s="306">
        <f t="shared" ca="1" si="74"/>
        <v>1.3682280259570154</v>
      </c>
      <c r="N189" s="304">
        <f t="shared" ca="1" si="75"/>
        <v>78.393691298853028</v>
      </c>
      <c r="P189" s="310">
        <f t="shared" ca="1" si="76"/>
        <v>23</v>
      </c>
      <c r="Q189" s="304">
        <f t="shared" ca="1" si="77"/>
        <v>0</v>
      </c>
      <c r="R189" s="306">
        <f t="shared" ca="1" si="78"/>
        <v>0</v>
      </c>
      <c r="S189" s="307">
        <f t="shared" ca="1" si="79"/>
        <v>8.5499999999999989</v>
      </c>
      <c r="T189" s="304">
        <f t="shared" ca="1" si="59"/>
        <v>83.875499999999988</v>
      </c>
      <c r="U189" s="311">
        <f t="shared" ca="1" si="60"/>
        <v>0</v>
      </c>
      <c r="V189" s="306">
        <f t="shared" ca="1" si="61"/>
        <v>1.2001164417418835</v>
      </c>
      <c r="W189" s="304">
        <f t="shared" ca="1" si="62"/>
        <v>134.66238854676857</v>
      </c>
      <c r="Y189" s="314" t="str">
        <f t="shared" ca="1" si="80"/>
        <v/>
      </c>
      <c r="Z189" s="315" t="str">
        <f t="shared" ca="1" si="81"/>
        <v/>
      </c>
      <c r="AA189" s="316" t="str">
        <f t="shared" ca="1" si="82"/>
        <v/>
      </c>
      <c r="AC189" s="310" t="e">
        <f t="shared" ca="1" si="83"/>
        <v>#N/A</v>
      </c>
      <c r="AD189" s="323" t="e">
        <f t="shared" ca="1" si="84"/>
        <v>#N/A</v>
      </c>
      <c r="AE189" s="324">
        <f t="shared" ca="1" si="63"/>
        <v>205.2153688772438</v>
      </c>
      <c r="AG189" s="306">
        <f t="shared" ca="1" si="85"/>
        <v>-25.40463626369419</v>
      </c>
      <c r="AH189" s="304">
        <f t="shared" ca="1" si="86"/>
        <v>-15.795015770672814</v>
      </c>
    </row>
    <row r="190" spans="1:34" x14ac:dyDescent="0.3">
      <c r="A190" s="347">
        <f t="shared" ca="1" si="64"/>
        <v>0.01</v>
      </c>
      <c r="B190" s="304">
        <f t="shared" ca="1" si="65"/>
        <v>1.8600000000000014</v>
      </c>
      <c r="D190" s="306">
        <f t="shared" ca="1" si="66"/>
        <v>-3.1686733906044759</v>
      </c>
      <c r="E190" s="307">
        <f t="shared" ca="1" si="67"/>
        <v>-25.237948610449696</v>
      </c>
      <c r="F190" s="304">
        <f t="shared" ca="1" si="68"/>
        <v>25.436087378369034</v>
      </c>
      <c r="G190" s="306">
        <f t="shared" ca="1" si="69"/>
        <v>38.25126461163682</v>
      </c>
      <c r="H190" s="307">
        <f t="shared" ca="1" si="70"/>
        <v>186.14341875762346</v>
      </c>
      <c r="I190" s="304">
        <f t="shared" ca="1" si="71"/>
        <v>190.03297501003723</v>
      </c>
      <c r="J190" s="306">
        <f t="shared" ca="1" si="72"/>
        <v>40.86290985927188</v>
      </c>
      <c r="K190" s="307">
        <f t="shared" ca="1" si="73"/>
        <v>207.07806496225055</v>
      </c>
      <c r="L190" s="304">
        <f t="shared" ca="1" si="58"/>
        <v>211.07132062569997</v>
      </c>
      <c r="M190" s="306">
        <f t="shared" ca="1" si="74"/>
        <v>1.3681241685874386</v>
      </c>
      <c r="N190" s="304">
        <f t="shared" ca="1" si="75"/>
        <v>78.387740709904946</v>
      </c>
      <c r="P190" s="310">
        <f t="shared" ca="1" si="76"/>
        <v>23</v>
      </c>
      <c r="Q190" s="304">
        <f t="shared" ca="1" si="77"/>
        <v>0</v>
      </c>
      <c r="R190" s="306">
        <f t="shared" ca="1" si="78"/>
        <v>0</v>
      </c>
      <c r="S190" s="307">
        <f t="shared" ca="1" si="79"/>
        <v>8.5499999999999989</v>
      </c>
      <c r="T190" s="304">
        <f t="shared" ca="1" si="59"/>
        <v>83.875499999999988</v>
      </c>
      <c r="U190" s="311">
        <f t="shared" ca="1" si="60"/>
        <v>0</v>
      </c>
      <c r="V190" s="306">
        <f t="shared" ca="1" si="61"/>
        <v>1.1998928935927056</v>
      </c>
      <c r="W190" s="304">
        <f t="shared" ca="1" si="62"/>
        <v>134.27868425572308</v>
      </c>
      <c r="Y190" s="314" t="str">
        <f t="shared" ca="1" si="80"/>
        <v/>
      </c>
      <c r="Z190" s="315" t="str">
        <f t="shared" ca="1" si="81"/>
        <v/>
      </c>
      <c r="AA190" s="316" t="str">
        <f t="shared" ca="1" si="82"/>
        <v/>
      </c>
      <c r="AC190" s="310" t="e">
        <f t="shared" ca="1" si="83"/>
        <v>#N/A</v>
      </c>
      <c r="AD190" s="323" t="e">
        <f t="shared" ca="1" si="84"/>
        <v>#N/A</v>
      </c>
      <c r="AE190" s="324">
        <f t="shared" ca="1" si="63"/>
        <v>207.07806496225055</v>
      </c>
      <c r="AG190" s="306">
        <f t="shared" ca="1" si="85"/>
        <v>-25.359402909405645</v>
      </c>
      <c r="AH190" s="304">
        <f t="shared" ca="1" si="86"/>
        <v>-15.749986964534337</v>
      </c>
    </row>
    <row r="191" spans="1:34" x14ac:dyDescent="0.3">
      <c r="A191" s="347">
        <f t="shared" ca="1" si="64"/>
        <v>0.01</v>
      </c>
      <c r="B191" s="304">
        <f t="shared" ca="1" si="65"/>
        <v>1.8700000000000014</v>
      </c>
      <c r="D191" s="306">
        <f t="shared" ca="1" si="66"/>
        <v>-3.1612423601603186</v>
      </c>
      <c r="E191" s="307">
        <f t="shared" ca="1" si="67"/>
        <v>-25.193660289825907</v>
      </c>
      <c r="F191" s="304">
        <f t="shared" ca="1" si="68"/>
        <v>25.391218404377973</v>
      </c>
      <c r="G191" s="306">
        <f t="shared" ca="1" si="69"/>
        <v>38.219652188035219</v>
      </c>
      <c r="H191" s="307">
        <f t="shared" ca="1" si="70"/>
        <v>185.8914821547252</v>
      </c>
      <c r="I191" s="304">
        <f t="shared" ca="1" si="71"/>
        <v>189.77983283545939</v>
      </c>
      <c r="J191" s="306">
        <f t="shared" ca="1" si="72"/>
        <v>41.245264443270244</v>
      </c>
      <c r="K191" s="307">
        <f t="shared" ca="1" si="73"/>
        <v>208.93823946681229</v>
      </c>
      <c r="L191" s="304">
        <f t="shared" ca="1" si="58"/>
        <v>212.97032598577269</v>
      </c>
      <c r="M191" s="306">
        <f t="shared" ca="1" si="74"/>
        <v>1.3680201200981827</v>
      </c>
      <c r="N191" s="304">
        <f t="shared" ca="1" si="75"/>
        <v>78.381779170605881</v>
      </c>
      <c r="P191" s="310">
        <f t="shared" ca="1" si="76"/>
        <v>23</v>
      </c>
      <c r="Q191" s="304">
        <f t="shared" ca="1" si="77"/>
        <v>0</v>
      </c>
      <c r="R191" s="306">
        <f t="shared" ca="1" si="78"/>
        <v>0</v>
      </c>
      <c r="S191" s="307">
        <f t="shared" ca="1" si="79"/>
        <v>8.5499999999999989</v>
      </c>
      <c r="T191" s="304">
        <f t="shared" ca="1" si="59"/>
        <v>83.875499999999988</v>
      </c>
      <c r="U191" s="311">
        <f t="shared" ca="1" si="60"/>
        <v>0</v>
      </c>
      <c r="V191" s="306">
        <f t="shared" ca="1" si="61"/>
        <v>1.199669689192578</v>
      </c>
      <c r="W191" s="304">
        <f t="shared" ca="1" si="62"/>
        <v>133.89626626812773</v>
      </c>
      <c r="Y191" s="314" t="str">
        <f t="shared" ca="1" si="80"/>
        <v/>
      </c>
      <c r="Z191" s="315" t="str">
        <f t="shared" ca="1" si="81"/>
        <v/>
      </c>
      <c r="AA191" s="316" t="str">
        <f t="shared" ca="1" si="82"/>
        <v/>
      </c>
      <c r="AC191" s="310" t="e">
        <f t="shared" ca="1" si="83"/>
        <v>#N/A</v>
      </c>
      <c r="AD191" s="323" t="e">
        <f t="shared" ca="1" si="84"/>
        <v>#N/A</v>
      </c>
      <c r="AE191" s="324">
        <f t="shared" ca="1" si="63"/>
        <v>208.93823946681229</v>
      </c>
      <c r="AG191" s="306">
        <f t="shared" ca="1" si="85"/>
        <v>-25.314320186442881</v>
      </c>
      <c r="AH191" s="304">
        <f t="shared" ca="1" si="86"/>
        <v>-15.705109269675216</v>
      </c>
    </row>
    <row r="192" spans="1:34" x14ac:dyDescent="0.3">
      <c r="A192" s="347">
        <f t="shared" ca="1" si="64"/>
        <v>0.01</v>
      </c>
      <c r="B192" s="304">
        <f t="shared" ca="1" si="65"/>
        <v>1.8800000000000014</v>
      </c>
      <c r="D192" s="306">
        <f t="shared" ca="1" si="66"/>
        <v>-3.1538353943132367</v>
      </c>
      <c r="E192" s="307">
        <f t="shared" ca="1" si="67"/>
        <v>-25.149520439289965</v>
      </c>
      <c r="F192" s="304">
        <f t="shared" ca="1" si="68"/>
        <v>25.346499877116891</v>
      </c>
      <c r="G192" s="306">
        <f t="shared" ca="1" si="69"/>
        <v>38.188113834092086</v>
      </c>
      <c r="H192" s="307">
        <f t="shared" ca="1" si="70"/>
        <v>185.63998695033229</v>
      </c>
      <c r="I192" s="304">
        <f t="shared" ca="1" si="71"/>
        <v>189.52713999088658</v>
      </c>
      <c r="J192" s="306">
        <f t="shared" ca="1" si="72"/>
        <v>41.627303273380882</v>
      </c>
      <c r="K192" s="307">
        <f t="shared" ca="1" si="73"/>
        <v>210.79589681233759</v>
      </c>
      <c r="L192" s="304">
        <f t="shared" ca="1" si="58"/>
        <v>214.86680174175746</v>
      </c>
      <c r="M192" s="306">
        <f t="shared" ca="1" si="74"/>
        <v>1.3679158801300668</v>
      </c>
      <c r="N192" s="304">
        <f t="shared" ca="1" si="75"/>
        <v>78.375806660376256</v>
      </c>
      <c r="P192" s="310">
        <f t="shared" ca="1" si="76"/>
        <v>23</v>
      </c>
      <c r="Q192" s="304">
        <f t="shared" ca="1" si="77"/>
        <v>0</v>
      </c>
      <c r="R192" s="306">
        <f t="shared" ca="1" si="78"/>
        <v>0</v>
      </c>
      <c r="S192" s="307">
        <f t="shared" ca="1" si="79"/>
        <v>8.5499999999999989</v>
      </c>
      <c r="T192" s="304">
        <f t="shared" ca="1" si="59"/>
        <v>83.875499999999988</v>
      </c>
      <c r="U192" s="311">
        <f t="shared" ca="1" si="60"/>
        <v>0</v>
      </c>
      <c r="V192" s="306">
        <f t="shared" ca="1" si="61"/>
        <v>1.1994468278326593</v>
      </c>
      <c r="W192" s="304">
        <f t="shared" ca="1" si="62"/>
        <v>133.51512891781516</v>
      </c>
      <c r="Y192" s="314" t="str">
        <f t="shared" ca="1" si="80"/>
        <v/>
      </c>
      <c r="Z192" s="315" t="str">
        <f t="shared" ca="1" si="81"/>
        <v/>
      </c>
      <c r="AA192" s="316" t="str">
        <f t="shared" ca="1" si="82"/>
        <v/>
      </c>
      <c r="AC192" s="310" t="e">
        <f t="shared" ca="1" si="83"/>
        <v>#N/A</v>
      </c>
      <c r="AD192" s="323" t="e">
        <f t="shared" ca="1" si="84"/>
        <v>#N/A</v>
      </c>
      <c r="AE192" s="324">
        <f t="shared" ca="1" si="63"/>
        <v>210.79589681233759</v>
      </c>
      <c r="AG192" s="306">
        <f t="shared" ca="1" si="85"/>
        <v>-25.269387427098088</v>
      </c>
      <c r="AH192" s="304">
        <f t="shared" ca="1" si="86"/>
        <v>-15.660382019664064</v>
      </c>
    </row>
    <row r="193" spans="1:34" x14ac:dyDescent="0.3">
      <c r="A193" s="347">
        <f t="shared" ca="1" si="64"/>
        <v>0.01</v>
      </c>
      <c r="B193" s="304">
        <f t="shared" ca="1" si="65"/>
        <v>1.8900000000000015</v>
      </c>
      <c r="D193" s="306">
        <f t="shared" ca="1" si="66"/>
        <v>-3.1464523859929097</v>
      </c>
      <c r="E193" s="307">
        <f t="shared" ca="1" si="67"/>
        <v>-25.105528404812425</v>
      </c>
      <c r="F193" s="304">
        <f t="shared" ca="1" si="68"/>
        <v>25.301931133851504</v>
      </c>
      <c r="G193" s="306">
        <f t="shared" ca="1" si="69"/>
        <v>38.156649310232154</v>
      </c>
      <c r="H193" s="307">
        <f t="shared" ca="1" si="70"/>
        <v>185.38893166628415</v>
      </c>
      <c r="I193" s="304">
        <f t="shared" ca="1" si="71"/>
        <v>189.27489498332898</v>
      </c>
      <c r="J193" s="306">
        <f t="shared" ca="1" si="72"/>
        <v>42.009027089102503</v>
      </c>
      <c r="K193" s="307">
        <f t="shared" ca="1" si="73"/>
        <v>212.65104140542067</v>
      </c>
      <c r="L193" s="304">
        <f t="shared" ca="1" si="58"/>
        <v>216.76075236947966</v>
      </c>
      <c r="M193" s="306">
        <f t="shared" ca="1" si="74"/>
        <v>1.3678114483228347</v>
      </c>
      <c r="N193" s="304">
        <f t="shared" ca="1" si="75"/>
        <v>78.369823158574931</v>
      </c>
      <c r="P193" s="310">
        <f t="shared" ca="1" si="76"/>
        <v>23</v>
      </c>
      <c r="Q193" s="304">
        <f t="shared" ca="1" si="77"/>
        <v>0</v>
      </c>
      <c r="R193" s="306">
        <f t="shared" ca="1" si="78"/>
        <v>0</v>
      </c>
      <c r="S193" s="307">
        <f t="shared" ca="1" si="79"/>
        <v>8.5499999999999989</v>
      </c>
      <c r="T193" s="304">
        <f t="shared" ca="1" si="59"/>
        <v>83.875499999999988</v>
      </c>
      <c r="U193" s="311">
        <f t="shared" ca="1" si="60"/>
        <v>0</v>
      </c>
      <c r="V193" s="306">
        <f t="shared" ca="1" si="61"/>
        <v>1.199224308806597</v>
      </c>
      <c r="W193" s="304">
        <f t="shared" ca="1" si="62"/>
        <v>133.13526657022533</v>
      </c>
      <c r="Y193" s="314" t="str">
        <f t="shared" ca="1" si="80"/>
        <v/>
      </c>
      <c r="Z193" s="315" t="str">
        <f t="shared" ca="1" si="81"/>
        <v/>
      </c>
      <c r="AA193" s="316" t="str">
        <f t="shared" ca="1" si="82"/>
        <v/>
      </c>
      <c r="AC193" s="310" t="e">
        <f t="shared" ca="1" si="83"/>
        <v>#N/A</v>
      </c>
      <c r="AD193" s="323" t="e">
        <f t="shared" ca="1" si="84"/>
        <v>#N/A</v>
      </c>
      <c r="AE193" s="324">
        <f t="shared" ca="1" si="63"/>
        <v>212.65104140542067</v>
      </c>
      <c r="AG193" s="306">
        <f t="shared" ca="1" si="85"/>
        <v>-25.224603967380638</v>
      </c>
      <c r="AH193" s="304">
        <f t="shared" ca="1" si="86"/>
        <v>-15.615804551791248</v>
      </c>
    </row>
    <row r="194" spans="1:34" x14ac:dyDescent="0.3">
      <c r="A194" s="347">
        <f t="shared" ca="1" si="64"/>
        <v>0.01</v>
      </c>
      <c r="B194" s="304">
        <f t="shared" ca="1" si="65"/>
        <v>1.9000000000000015</v>
      </c>
      <c r="D194" s="306">
        <f t="shared" ca="1" si="66"/>
        <v>-3.1390932287253368</v>
      </c>
      <c r="E194" s="307">
        <f t="shared" ca="1" si="67"/>
        <v>-25.061683536012133</v>
      </c>
      <c r="F194" s="304">
        <f t="shared" ca="1" si="68"/>
        <v>25.257511515544259</v>
      </c>
      <c r="G194" s="306">
        <f t="shared" ca="1" si="69"/>
        <v>38.125258377944903</v>
      </c>
      <c r="H194" s="307">
        <f t="shared" ca="1" si="70"/>
        <v>185.13831483092403</v>
      </c>
      <c r="I194" s="304">
        <f t="shared" ca="1" si="71"/>
        <v>189.02309632639975</v>
      </c>
      <c r="J194" s="306">
        <f t="shared" ca="1" si="72"/>
        <v>42.390436627543387</v>
      </c>
      <c r="K194" s="307">
        <f t="shared" ca="1" si="73"/>
        <v>214.50367763790672</v>
      </c>
      <c r="L194" s="304">
        <f t="shared" ca="1" si="58"/>
        <v>218.65218232997532</v>
      </c>
      <c r="M194" s="306">
        <f t="shared" ca="1" si="74"/>
        <v>1.3677068243151536</v>
      </c>
      <c r="N194" s="304">
        <f t="shared" ca="1" si="75"/>
        <v>78.363828644499065</v>
      </c>
      <c r="P194" s="310">
        <f t="shared" ca="1" si="76"/>
        <v>23</v>
      </c>
      <c r="Q194" s="304">
        <f t="shared" ca="1" si="77"/>
        <v>0</v>
      </c>
      <c r="R194" s="306">
        <f t="shared" ca="1" si="78"/>
        <v>0</v>
      </c>
      <c r="S194" s="307">
        <f t="shared" ca="1" si="79"/>
        <v>8.5499999999999989</v>
      </c>
      <c r="T194" s="304">
        <f t="shared" ca="1" si="59"/>
        <v>83.875499999999988</v>
      </c>
      <c r="U194" s="311">
        <f t="shared" ca="1" si="60"/>
        <v>0</v>
      </c>
      <c r="V194" s="306">
        <f t="shared" ca="1" si="61"/>
        <v>1.1990021314105161</v>
      </c>
      <c r="W194" s="304">
        <f t="shared" ca="1" si="62"/>
        <v>132.75667362219312</v>
      </c>
      <c r="Y194" s="314" t="str">
        <f t="shared" ca="1" si="80"/>
        <v/>
      </c>
      <c r="Z194" s="315" t="str">
        <f t="shared" ca="1" si="81"/>
        <v/>
      </c>
      <c r="AA194" s="316" t="str">
        <f t="shared" ca="1" si="82"/>
        <v/>
      </c>
      <c r="AC194" s="310" t="e">
        <f t="shared" ca="1" si="83"/>
        <v>#N/A</v>
      </c>
      <c r="AD194" s="323" t="e">
        <f t="shared" ca="1" si="84"/>
        <v>#N/A</v>
      </c>
      <c r="AE194" s="324">
        <f t="shared" ca="1" si="63"/>
        <v>214.50367763790672</v>
      </c>
      <c r="AG194" s="306">
        <f t="shared" ca="1" si="85"/>
        <v>-25.179969146992079</v>
      </c>
      <c r="AH194" s="304">
        <f t="shared" ca="1" si="86"/>
        <v>-15.571376207043899</v>
      </c>
    </row>
    <row r="195" spans="1:34" x14ac:dyDescent="0.3">
      <c r="A195" s="347">
        <f t="shared" ca="1" si="64"/>
        <v>0.01</v>
      </c>
      <c r="B195" s="304">
        <f t="shared" ca="1" si="65"/>
        <v>1.9100000000000015</v>
      </c>
      <c r="D195" s="306">
        <f t="shared" ca="1" si="66"/>
        <v>-3.1317578166288</v>
      </c>
      <c r="E195" s="307">
        <f t="shared" ca="1" si="67"/>
        <v>-25.017985186131703</v>
      </c>
      <c r="F195" s="304">
        <f t="shared" ca="1" si="68"/>
        <v>25.213240366829506</v>
      </c>
      <c r="G195" s="306">
        <f t="shared" ca="1" si="69"/>
        <v>38.093940799778615</v>
      </c>
      <c r="H195" s="307">
        <f t="shared" ca="1" si="70"/>
        <v>184.88813497906273</v>
      </c>
      <c r="I195" s="304">
        <f t="shared" ca="1" si="71"/>
        <v>188.77174254027838</v>
      </c>
      <c r="J195" s="306">
        <f t="shared" ca="1" si="72"/>
        <v>42.771532623432002</v>
      </c>
      <c r="K195" s="307">
        <f t="shared" ca="1" si="73"/>
        <v>216.35380988695664</v>
      </c>
      <c r="L195" s="304">
        <f t="shared" ca="1" si="58"/>
        <v>220.54109606955046</v>
      </c>
      <c r="M195" s="306">
        <f t="shared" ca="1" si="74"/>
        <v>1.3676020077446087</v>
      </c>
      <c r="N195" s="304">
        <f t="shared" ca="1" si="75"/>
        <v>78.3578230973838</v>
      </c>
      <c r="P195" s="310">
        <f t="shared" ca="1" si="76"/>
        <v>23</v>
      </c>
      <c r="Q195" s="304">
        <f t="shared" ca="1" si="77"/>
        <v>0</v>
      </c>
      <c r="R195" s="306">
        <f t="shared" ca="1" si="78"/>
        <v>0</v>
      </c>
      <c r="S195" s="307">
        <f t="shared" ca="1" si="79"/>
        <v>8.5499999999999989</v>
      </c>
      <c r="T195" s="304">
        <f t="shared" ca="1" si="59"/>
        <v>83.875499999999988</v>
      </c>
      <c r="U195" s="311">
        <f t="shared" ca="1" si="60"/>
        <v>0</v>
      </c>
      <c r="V195" s="306">
        <f t="shared" ca="1" si="61"/>
        <v>1.1987802949430075</v>
      </c>
      <c r="W195" s="304">
        <f t="shared" ca="1" si="62"/>
        <v>132.37934450173825</v>
      </c>
      <c r="Y195" s="314" t="str">
        <f t="shared" ca="1" si="80"/>
        <v/>
      </c>
      <c r="Z195" s="315" t="str">
        <f t="shared" ca="1" si="81"/>
        <v/>
      </c>
      <c r="AA195" s="316" t="str">
        <f t="shared" ca="1" si="82"/>
        <v/>
      </c>
      <c r="AC195" s="310" t="e">
        <f t="shared" ca="1" si="83"/>
        <v>#N/A</v>
      </c>
      <c r="AD195" s="323" t="e">
        <f t="shared" ca="1" si="84"/>
        <v>#N/A</v>
      </c>
      <c r="AE195" s="324">
        <f t="shared" ca="1" si="63"/>
        <v>216.35380988695664</v>
      </c>
      <c r="AG195" s="306">
        <f t="shared" ca="1" si="85"/>
        <v>-25.135482309301246</v>
      </c>
      <c r="AH195" s="304">
        <f t="shared" ca="1" si="86"/>
        <v>-15.527096330081068</v>
      </c>
    </row>
    <row r="196" spans="1:34" x14ac:dyDescent="0.3">
      <c r="A196" s="347">
        <f t="shared" ca="1" si="64"/>
        <v>0.01</v>
      </c>
      <c r="B196" s="304">
        <f t="shared" ca="1" si="65"/>
        <v>1.9200000000000015</v>
      </c>
      <c r="D196" s="306">
        <f t="shared" ca="1" si="66"/>
        <v>-3.1244460444099214</v>
      </c>
      <c r="E196" s="307">
        <f t="shared" ca="1" si="67"/>
        <v>-24.974432712013282</v>
      </c>
      <c r="F196" s="304">
        <f t="shared" ca="1" si="68"/>
        <v>25.169117035988926</v>
      </c>
      <c r="G196" s="306">
        <f t="shared" ca="1" si="69"/>
        <v>38.062696339334515</v>
      </c>
      <c r="H196" s="307">
        <f t="shared" ca="1" si="70"/>
        <v>184.63839065194259</v>
      </c>
      <c r="I196" s="304">
        <f t="shared" ca="1" si="71"/>
        <v>188.52083215167428</v>
      </c>
      <c r="J196" s="306">
        <f t="shared" ca="1" si="72"/>
        <v>43.152315809127565</v>
      </c>
      <c r="K196" s="307">
        <f t="shared" ca="1" si="73"/>
        <v>218.20144251511167</v>
      </c>
      <c r="L196" s="304">
        <f t="shared" ref="L196:L259" ca="1" si="87">SQRT(pos_x^2+pos_z^2)</f>
        <v>222.42749801984075</v>
      </c>
      <c r="M196" s="306">
        <f t="shared" ca="1" si="74"/>
        <v>1.3674969982477003</v>
      </c>
      <c r="N196" s="304">
        <f t="shared" ca="1" si="75"/>
        <v>78.351806496402162</v>
      </c>
      <c r="P196" s="310">
        <f t="shared" ca="1" si="76"/>
        <v>23</v>
      </c>
      <c r="Q196" s="304">
        <f t="shared" ca="1" si="77"/>
        <v>0</v>
      </c>
      <c r="R196" s="306">
        <f t="shared" ca="1" si="78"/>
        <v>0</v>
      </c>
      <c r="S196" s="307">
        <f t="shared" ca="1" si="79"/>
        <v>8.5499999999999989</v>
      </c>
      <c r="T196" s="304">
        <f t="shared" ref="T196:T259" ca="1" si="88">m*g</f>
        <v>83.875499999999988</v>
      </c>
      <c r="U196" s="311">
        <f t="shared" ref="U196:U259" ca="1" si="89">IF(pos_xz&lt;L_rampe,Poids*COS(Beta),0)</f>
        <v>0</v>
      </c>
      <c r="V196" s="306">
        <f t="shared" ref="V196:V259" ca="1" si="90">Rho_moyen*(20000-Alt_rampe-pos_z)/(20000+Alt_rampe+pos_z)</f>
        <v>1.1985587987051181</v>
      </c>
      <c r="W196" s="304">
        <f t="shared" ref="W196:W259" ca="1" si="91">1/2*Rho*Sref*Cx*vit_xz^2</f>
        <v>132.00327366785663</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218.20144251511167</v>
      </c>
      <c r="AG196" s="306">
        <f t="shared" ca="1" si="85"/>
        <v>-25.091142801319716</v>
      </c>
      <c r="AH196" s="304">
        <f t="shared" ca="1" si="86"/>
        <v>-15.482964269209154</v>
      </c>
    </row>
    <row r="197" spans="1:34" x14ac:dyDescent="0.3">
      <c r="A197" s="347">
        <f t="shared" ref="A197:A260" ca="1" si="93">IF(B196+0.01&lt;=T_ini+ROUNDUP(Temps_fin_propu,0), 0.01, IF(K196&gt;0, 0.1, 0.0001))</f>
        <v>0.01</v>
      </c>
      <c r="B197" s="304">
        <f t="shared" ref="B197:B260" ca="1" si="94">B196+pas</f>
        <v>1.9300000000000015</v>
      </c>
      <c r="D197" s="306">
        <f t="shared" ref="D197:D260" ca="1" si="95">IF(AND(L196&lt;L_rampe,Poussee&lt;Poids*SIN(M196)),0,(-W196+Poussee)/m*COS(M196)-U196/m*SIN(M196))</f>
        <v>-3.117157807359725</v>
      </c>
      <c r="E197" s="307">
        <f t="shared" ref="E197:E260" ca="1" si="96">IF(AND(L196&lt;L_rampe,Poussee&lt;Poids*SIN(M196)),0,(-W196+Poussee)/m*SIN(M196)+U196/m*COS(M196)-Poids/m)</f>
        <v>-24.931025474074456</v>
      </c>
      <c r="F197" s="304">
        <f t="shared" ref="F197:F260" ca="1" si="97">SQRT(acc_x^2+acc_z^2)</f>
        <v>25.125140874927112</v>
      </c>
      <c r="G197" s="306">
        <f t="shared" ref="G197:G260" ca="1" si="98">G196+acc_x*pas</f>
        <v>38.031524761260918</v>
      </c>
      <c r="H197" s="307">
        <f t="shared" ref="H197:H260" ca="1" si="99">H196+acc_z*pas</f>
        <v>184.38908039720184</v>
      </c>
      <c r="I197" s="304">
        <f t="shared" ref="I197:I260" ca="1" si="100">SQRT(vit_x^2+vit_z^2)</f>
        <v>188.27036369379056</v>
      </c>
      <c r="J197" s="306">
        <f t="shared" ref="J197:J260" ca="1" si="101">J196+0.5*(vit_x+G196)*pas*(K196&gt;=0)</f>
        <v>43.532786914630542</v>
      </c>
      <c r="K197" s="307">
        <f t="shared" ref="K197:K260" ca="1" si="102">K196+0.5*(vit_z+H196)*pas</f>
        <v>220.04657987035739</v>
      </c>
      <c r="L197" s="304">
        <f t="shared" ca="1" si="87"/>
        <v>224.31139259787096</v>
      </c>
      <c r="M197" s="306">
        <f t="shared" ref="M197:M260" ca="1" si="103">IF(AND(L196&gt;L_rampe,G197&gt;0),ATAN2(G197,H197),$M$4)</f>
        <v>1.3673917954598409</v>
      </c>
      <c r="N197" s="304">
        <f t="shared" ref="N197:N260" ca="1" si="104">DEGREES(Beta)</f>
        <v>78.345778820664805</v>
      </c>
      <c r="P197" s="310">
        <f t="shared" ref="P197:P260" ca="1" si="105">MATCH(t-pas/2-T_ini,CdP_t)</f>
        <v>23</v>
      </c>
      <c r="Q197" s="304">
        <f t="shared" ref="Q197:Q260" ca="1" si="106">(INDEX(CdP,2,i_P+1)-INDEX(CdP,2,i_P+0))/(INDEX(CdP,1,i_P+1)-INDEX(CdP,1,i_P+0))*(t-pas/2-T_ini-INDEX(CdP,1,i_P+0))+INDEX(CdP,2,i_P+0)</f>
        <v>0</v>
      </c>
      <c r="R197" s="306">
        <f t="shared" ref="R197:R260" ca="1" si="107">Poussee/(g*ISP)</f>
        <v>0</v>
      </c>
      <c r="S197" s="307">
        <f t="shared" ref="S197:S260" ca="1" si="108">S196-Débit*pas</f>
        <v>8.5499999999999989</v>
      </c>
      <c r="T197" s="304">
        <f t="shared" ca="1" si="88"/>
        <v>83.875499999999988</v>
      </c>
      <c r="U197" s="311">
        <f t="shared" ca="1" si="89"/>
        <v>0</v>
      </c>
      <c r="V197" s="306">
        <f t="shared" ca="1" si="90"/>
        <v>1.1983376420003364</v>
      </c>
      <c r="W197" s="304">
        <f t="shared" ca="1" si="91"/>
        <v>131.62845561031284</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220.04657987035739</v>
      </c>
      <c r="AG197" s="306">
        <f t="shared" ref="AG197:AG260" ca="1" si="114">IF(AND(L196&lt;L_rampe,Poussee&lt;Poids*SIN(M196)),0,(-W196+Poussee)/m-Poids*SIN(M196)/m)</f>
        <v>-25.04694997367735</v>
      </c>
      <c r="AH197" s="304">
        <f t="shared" ref="AH197:AH260" ca="1" si="115">IF(AND(L196&lt;L_rampe,Poussee&lt;Poids*SIN(M196)), g*SIN(M196), (-W196+Poussee)/m)</f>
        <v>-15.438979376357503</v>
      </c>
    </row>
    <row r="198" spans="1:34" x14ac:dyDescent="0.3">
      <c r="A198" s="347">
        <f t="shared" ca="1" si="93"/>
        <v>0.01</v>
      </c>
      <c r="B198" s="304">
        <f t="shared" ca="1" si="94"/>
        <v>1.9400000000000015</v>
      </c>
      <c r="D198" s="306">
        <f t="shared" ca="1" si="95"/>
        <v>-3.1098930013497026</v>
      </c>
      <c r="E198" s="307">
        <f t="shared" ca="1" si="96"/>
        <v>-24.887762836284303</v>
      </c>
      <c r="F198" s="304">
        <f t="shared" ca="1" si="97"/>
        <v>25.081311239147322</v>
      </c>
      <c r="G198" s="306">
        <f t="shared" ca="1" si="98"/>
        <v>38.000425831247419</v>
      </c>
      <c r="H198" s="307">
        <f t="shared" ca="1" si="99"/>
        <v>184.140202768839</v>
      </c>
      <c r="I198" s="304">
        <f t="shared" ca="1" si="100"/>
        <v>188.02033570628811</v>
      </c>
      <c r="J198" s="306">
        <f t="shared" ca="1" si="101"/>
        <v>43.912946667593083</v>
      </c>
      <c r="K198" s="307">
        <f t="shared" ca="1" si="102"/>
        <v>221.88922628618761</v>
      </c>
      <c r="L198" s="304">
        <f t="shared" ca="1" si="87"/>
        <v>226.19278420611442</v>
      </c>
      <c r="M198" s="306">
        <f t="shared" ca="1" si="103"/>
        <v>1.3672863990153503</v>
      </c>
      <c r="N198" s="304">
        <f t="shared" ca="1" si="104"/>
        <v>78.339740049219813</v>
      </c>
      <c r="P198" s="310">
        <f t="shared" ca="1" si="105"/>
        <v>23</v>
      </c>
      <c r="Q198" s="304">
        <f t="shared" ca="1" si="106"/>
        <v>0</v>
      </c>
      <c r="R198" s="306">
        <f t="shared" ca="1" si="107"/>
        <v>0</v>
      </c>
      <c r="S198" s="307">
        <f t="shared" ca="1" si="108"/>
        <v>8.5499999999999989</v>
      </c>
      <c r="T198" s="304">
        <f t="shared" ca="1" si="88"/>
        <v>83.875499999999988</v>
      </c>
      <c r="U198" s="311">
        <f t="shared" ca="1" si="89"/>
        <v>0</v>
      </c>
      <c r="V198" s="306">
        <f t="shared" ca="1" si="90"/>
        <v>1.1981168241345865</v>
      </c>
      <c r="W198" s="304">
        <f t="shared" ca="1" si="91"/>
        <v>131.25488484943531</v>
      </c>
      <c r="Y198" s="314" t="str">
        <f t="shared" ca="1" si="109"/>
        <v/>
      </c>
      <c r="Z198" s="315" t="str">
        <f t="shared" ca="1" si="110"/>
        <v/>
      </c>
      <c r="AA198" s="316" t="str">
        <f t="shared" ca="1" si="111"/>
        <v/>
      </c>
      <c r="AC198" s="310" t="e">
        <f t="shared" ca="1" si="112"/>
        <v>#N/A</v>
      </c>
      <c r="AD198" s="323" t="e">
        <f t="shared" ca="1" si="113"/>
        <v>#N/A</v>
      </c>
      <c r="AE198" s="324">
        <f t="shared" ca="1" si="92"/>
        <v>221.88922628618761</v>
      </c>
      <c r="AG198" s="306">
        <f t="shared" ca="1" si="114"/>
        <v>-25.002903180598018</v>
      </c>
      <c r="AH198" s="304">
        <f t="shared" ca="1" si="115"/>
        <v>-15.395141007054136</v>
      </c>
    </row>
    <row r="199" spans="1:34" x14ac:dyDescent="0.3">
      <c r="A199" s="347">
        <f t="shared" ca="1" si="93"/>
        <v>0.01</v>
      </c>
      <c r="B199" s="304">
        <f t="shared" ca="1" si="94"/>
        <v>1.9500000000000015</v>
      </c>
      <c r="D199" s="306">
        <f t="shared" ca="1" si="95"/>
        <v>-3.1026515228279701</v>
      </c>
      <c r="E199" s="307">
        <f t="shared" ca="1" si="96"/>
        <v>-24.844644166139737</v>
      </c>
      <c r="F199" s="304">
        <f t="shared" ca="1" si="97"/>
        <v>25.037627487727509</v>
      </c>
      <c r="G199" s="306">
        <f t="shared" ca="1" si="98"/>
        <v>37.969399316019143</v>
      </c>
      <c r="H199" s="307">
        <f t="shared" ca="1" si="99"/>
        <v>183.8917563271776</v>
      </c>
      <c r="I199" s="304">
        <f t="shared" ca="1" si="100"/>
        <v>187.77074673524996</v>
      </c>
      <c r="J199" s="306">
        <f t="shared" ca="1" si="101"/>
        <v>44.292795793329418</v>
      </c>
      <c r="K199" s="307">
        <f t="shared" ca="1" si="102"/>
        <v>223.72938608166768</v>
      </c>
      <c r="L199" s="304">
        <f t="shared" ca="1" si="87"/>
        <v>228.07167723255228</v>
      </c>
      <c r="M199" s="306">
        <f t="shared" ca="1" si="103"/>
        <v>1.3671808085474531</v>
      </c>
      <c r="N199" s="304">
        <f t="shared" ca="1" si="104"/>
        <v>78.333690161052488</v>
      </c>
      <c r="P199" s="310">
        <f t="shared" ca="1" si="105"/>
        <v>23</v>
      </c>
      <c r="Q199" s="304">
        <f t="shared" ca="1" si="106"/>
        <v>0</v>
      </c>
      <c r="R199" s="306">
        <f t="shared" ca="1" si="107"/>
        <v>0</v>
      </c>
      <c r="S199" s="307">
        <f t="shared" ca="1" si="108"/>
        <v>8.5499999999999989</v>
      </c>
      <c r="T199" s="304">
        <f t="shared" ca="1" si="88"/>
        <v>83.875499999999988</v>
      </c>
      <c r="U199" s="311">
        <f t="shared" ca="1" si="89"/>
        <v>0</v>
      </c>
      <c r="V199" s="306">
        <f t="shared" ca="1" si="90"/>
        <v>1.1978963444162123</v>
      </c>
      <c r="W199" s="304">
        <f t="shared" ca="1" si="91"/>
        <v>130.88255593591199</v>
      </c>
      <c r="Y199" s="314" t="str">
        <f t="shared" ca="1" si="109"/>
        <v/>
      </c>
      <c r="Z199" s="315" t="str">
        <f t="shared" ca="1" si="110"/>
        <v/>
      </c>
      <c r="AA199" s="316" t="str">
        <f t="shared" ca="1" si="111"/>
        <v/>
      </c>
      <c r="AC199" s="310" t="e">
        <f t="shared" ca="1" si="112"/>
        <v>#N/A</v>
      </c>
      <c r="AD199" s="323" t="e">
        <f t="shared" ca="1" si="113"/>
        <v>#N/A</v>
      </c>
      <c r="AE199" s="324">
        <f t="shared" ca="1" si="92"/>
        <v>223.72938608166768</v>
      </c>
      <c r="AG199" s="306">
        <f t="shared" ca="1" si="114"/>
        <v>-24.959001779875614</v>
      </c>
      <c r="AH199" s="304">
        <f t="shared" ca="1" si="115"/>
        <v>-15.351448520401792</v>
      </c>
    </row>
    <row r="200" spans="1:34" x14ac:dyDescent="0.3">
      <c r="A200" s="347">
        <f t="shared" ca="1" si="93"/>
        <v>0.01</v>
      </c>
      <c r="B200" s="304">
        <f t="shared" ca="1" si="94"/>
        <v>1.9600000000000015</v>
      </c>
      <c r="D200" s="306">
        <f t="shared" ca="1" si="95"/>
        <v>-3.0954332688153983</v>
      </c>
      <c r="E200" s="307">
        <f t="shared" ca="1" si="96"/>
        <v>-24.801668834641958</v>
      </c>
      <c r="F200" s="304">
        <f t="shared" ca="1" si="97"/>
        <v>24.994088983296418</v>
      </c>
      <c r="G200" s="306">
        <f t="shared" ca="1" si="98"/>
        <v>37.938444983330989</v>
      </c>
      <c r="H200" s="307">
        <f t="shared" ca="1" si="99"/>
        <v>183.64373963883119</v>
      </c>
      <c r="I200" s="304">
        <f t="shared" ca="1" si="100"/>
        <v>187.52159533314571</v>
      </c>
      <c r="J200" s="306">
        <f t="shared" ca="1" si="101"/>
        <v>44.672335014826167</v>
      </c>
      <c r="K200" s="307">
        <f t="shared" ca="1" si="102"/>
        <v>225.56706356149772</v>
      </c>
      <c r="L200" s="304">
        <f t="shared" ca="1" si="87"/>
        <v>229.94807605073285</v>
      </c>
      <c r="M200" s="306">
        <f t="shared" ca="1" si="103"/>
        <v>1.3670750236882747</v>
      </c>
      <c r="N200" s="304">
        <f t="shared" ca="1" si="104"/>
        <v>78.327629135085175</v>
      </c>
      <c r="P200" s="310">
        <f t="shared" ca="1" si="105"/>
        <v>23</v>
      </c>
      <c r="Q200" s="304">
        <f t="shared" ca="1" si="106"/>
        <v>0</v>
      </c>
      <c r="R200" s="306">
        <f t="shared" ca="1" si="107"/>
        <v>0</v>
      </c>
      <c r="S200" s="307">
        <f t="shared" ca="1" si="108"/>
        <v>8.5499999999999989</v>
      </c>
      <c r="T200" s="304">
        <f t="shared" ca="1" si="88"/>
        <v>83.875499999999988</v>
      </c>
      <c r="U200" s="311">
        <f t="shared" ca="1" si="89"/>
        <v>0</v>
      </c>
      <c r="V200" s="306">
        <f t="shared" ca="1" si="90"/>
        <v>1.1976762021559677</v>
      </c>
      <c r="W200" s="304">
        <f t="shared" ca="1" si="91"/>
        <v>130.51146345058808</v>
      </c>
      <c r="Y200" s="314" t="str">
        <f t="shared" ca="1" si="109"/>
        <v/>
      </c>
      <c r="Z200" s="315" t="str">
        <f t="shared" ca="1" si="110"/>
        <v/>
      </c>
      <c r="AA200" s="316" t="str">
        <f t="shared" ca="1" si="111"/>
        <v/>
      </c>
      <c r="AC200" s="310" t="e">
        <f t="shared" ca="1" si="112"/>
        <v>#N/A</v>
      </c>
      <c r="AD200" s="323" t="e">
        <f t="shared" ca="1" si="113"/>
        <v>#N/A</v>
      </c>
      <c r="AE200" s="324">
        <f t="shared" ca="1" si="92"/>
        <v>225.56706356149772</v>
      </c>
      <c r="AG200" s="306">
        <f t="shared" ca="1" si="114"/>
        <v>-24.91524513285016</v>
      </c>
      <c r="AH200" s="304">
        <f t="shared" ca="1" si="115"/>
        <v>-15.307901279054036</v>
      </c>
    </row>
    <row r="201" spans="1:34" x14ac:dyDescent="0.3">
      <c r="A201" s="347">
        <f t="shared" ca="1" si="93"/>
        <v>0.01</v>
      </c>
      <c r="B201" s="304">
        <f t="shared" ca="1" si="94"/>
        <v>1.9700000000000015</v>
      </c>
      <c r="D201" s="306">
        <f t="shared" ca="1" si="95"/>
        <v>-3.0882381369017917</v>
      </c>
      <c r="E201" s="307">
        <f t="shared" ca="1" si="96"/>
        <v>-24.758836216273068</v>
      </c>
      <c r="F201" s="304">
        <f t="shared" ca="1" si="97"/>
        <v>24.950695092009951</v>
      </c>
      <c r="G201" s="306">
        <f t="shared" ca="1" si="98"/>
        <v>37.90756260196197</v>
      </c>
      <c r="H201" s="307">
        <f t="shared" ca="1" si="99"/>
        <v>183.39615127666846</v>
      </c>
      <c r="I201" s="304">
        <f t="shared" ca="1" si="100"/>
        <v>187.27288005879635</v>
      </c>
      <c r="J201" s="306">
        <f t="shared" ca="1" si="101"/>
        <v>45.051565052752629</v>
      </c>
      <c r="K201" s="307">
        <f t="shared" ca="1" si="102"/>
        <v>227.40226301607521</v>
      </c>
      <c r="L201" s="304">
        <f t="shared" ca="1" si="87"/>
        <v>231.82198501983078</v>
      </c>
      <c r="M201" s="306">
        <f t="shared" ca="1" si="103"/>
        <v>1.3669690440688378</v>
      </c>
      <c r="N201" s="304">
        <f t="shared" ca="1" si="104"/>
        <v>78.32155695017704</v>
      </c>
      <c r="P201" s="310">
        <f t="shared" ca="1" si="105"/>
        <v>23</v>
      </c>
      <c r="Q201" s="304">
        <f t="shared" ca="1" si="106"/>
        <v>0</v>
      </c>
      <c r="R201" s="306">
        <f t="shared" ca="1" si="107"/>
        <v>0</v>
      </c>
      <c r="S201" s="307">
        <f t="shared" ca="1" si="108"/>
        <v>8.5499999999999989</v>
      </c>
      <c r="T201" s="304">
        <f t="shared" ca="1" si="88"/>
        <v>83.875499999999988</v>
      </c>
      <c r="U201" s="311">
        <f t="shared" ca="1" si="89"/>
        <v>0</v>
      </c>
      <c r="V201" s="306">
        <f t="shared" ca="1" si="90"/>
        <v>1.1974563966670078</v>
      </c>
      <c r="W201" s="304">
        <f t="shared" ca="1" si="91"/>
        <v>130.14160200426568</v>
      </c>
      <c r="Y201" s="314" t="str">
        <f t="shared" ca="1" si="109"/>
        <v/>
      </c>
      <c r="Z201" s="315" t="str">
        <f t="shared" ca="1" si="110"/>
        <v/>
      </c>
      <c r="AA201" s="316" t="str">
        <f t="shared" ca="1" si="111"/>
        <v/>
      </c>
      <c r="AC201" s="310" t="e">
        <f t="shared" ca="1" si="112"/>
        <v>#N/A</v>
      </c>
      <c r="AD201" s="323" t="e">
        <f t="shared" ca="1" si="113"/>
        <v>#N/A</v>
      </c>
      <c r="AE201" s="324">
        <f t="shared" ca="1" si="92"/>
        <v>227.40226301607521</v>
      </c>
      <c r="AG201" s="306">
        <f t="shared" ca="1" si="114"/>
        <v>-24.871632604384104</v>
      </c>
      <c r="AH201" s="304">
        <f t="shared" ca="1" si="115"/>
        <v>-15.264498649191591</v>
      </c>
    </row>
    <row r="202" spans="1:34" x14ac:dyDescent="0.3">
      <c r="A202" s="347">
        <f t="shared" ca="1" si="93"/>
        <v>0.01</v>
      </c>
      <c r="B202" s="304">
        <f t="shared" ca="1" si="94"/>
        <v>1.9800000000000015</v>
      </c>
      <c r="D202" s="306">
        <f t="shared" ca="1" si="95"/>
        <v>-3.0810660252421194</v>
      </c>
      <c r="E202" s="307">
        <f t="shared" ca="1" si="96"/>
        <v>-24.716145688972951</v>
      </c>
      <c r="F202" s="304">
        <f t="shared" ca="1" si="97"/>
        <v>24.907445183527706</v>
      </c>
      <c r="G202" s="306">
        <f t="shared" ca="1" si="98"/>
        <v>37.87675194170955</v>
      </c>
      <c r="H202" s="307">
        <f t="shared" ca="1" si="99"/>
        <v>183.14898981977873</v>
      </c>
      <c r="I202" s="304">
        <f t="shared" ca="1" si="100"/>
        <v>187.02459947733939</v>
      </c>
      <c r="J202" s="306">
        <f t="shared" ca="1" si="101"/>
        <v>45.430486625470984</v>
      </c>
      <c r="K202" s="307">
        <f t="shared" ca="1" si="102"/>
        <v>229.23498872155744</v>
      </c>
      <c r="L202" s="304">
        <f t="shared" ca="1" si="87"/>
        <v>233.693408484706</v>
      </c>
      <c r="M202" s="306">
        <f t="shared" ca="1" si="103"/>
        <v>1.3668628693190576</v>
      </c>
      <c r="N202" s="304">
        <f t="shared" ca="1" si="104"/>
        <v>78.315473585123783</v>
      </c>
      <c r="P202" s="310">
        <f t="shared" ca="1" si="105"/>
        <v>23</v>
      </c>
      <c r="Q202" s="304">
        <f t="shared" ca="1" si="106"/>
        <v>0</v>
      </c>
      <c r="R202" s="306">
        <f t="shared" ca="1" si="107"/>
        <v>0</v>
      </c>
      <c r="S202" s="307">
        <f t="shared" ca="1" si="108"/>
        <v>8.5499999999999989</v>
      </c>
      <c r="T202" s="304">
        <f t="shared" ca="1" si="88"/>
        <v>83.875499999999988</v>
      </c>
      <c r="U202" s="311">
        <f t="shared" ca="1" si="89"/>
        <v>0</v>
      </c>
      <c r="V202" s="306">
        <f t="shared" ca="1" si="90"/>
        <v>1.1972369272648751</v>
      </c>
      <c r="W202" s="304">
        <f t="shared" ca="1" si="91"/>
        <v>129.77296623750448</v>
      </c>
      <c r="Y202" s="314" t="str">
        <f t="shared" ca="1" si="109"/>
        <v/>
      </c>
      <c r="Z202" s="315" t="str">
        <f t="shared" ca="1" si="110"/>
        <v/>
      </c>
      <c r="AA202" s="316" t="str">
        <f t="shared" ca="1" si="111"/>
        <v/>
      </c>
      <c r="AC202" s="310" t="e">
        <f t="shared" ca="1" si="112"/>
        <v>#N/A</v>
      </c>
      <c r="AD202" s="323" t="e">
        <f t="shared" ca="1" si="113"/>
        <v>#N/A</v>
      </c>
      <c r="AE202" s="324">
        <f t="shared" ca="1" si="92"/>
        <v>229.23498872155744</v>
      </c>
      <c r="AG202" s="306">
        <f t="shared" ca="1" si="114"/>
        <v>-24.828163562838881</v>
      </c>
      <c r="AH202" s="304">
        <f t="shared" ca="1" si="115"/>
        <v>-15.221240000498911</v>
      </c>
    </row>
    <row r="203" spans="1:34" x14ac:dyDescent="0.3">
      <c r="A203" s="347">
        <f t="shared" ca="1" si="93"/>
        <v>0.01</v>
      </c>
      <c r="B203" s="304">
        <f t="shared" ca="1" si="94"/>
        <v>1.9900000000000015</v>
      </c>
      <c r="D203" s="306">
        <f t="shared" ca="1" si="95"/>
        <v>-3.0739168325527584</v>
      </c>
      <c r="E203" s="307">
        <f t="shared" ca="1" si="96"/>
        <v>-24.673596634116283</v>
      </c>
      <c r="F203" s="304">
        <f t="shared" ca="1" si="97"/>
        <v>24.864338630989675</v>
      </c>
      <c r="G203" s="306">
        <f t="shared" ca="1" si="98"/>
        <v>37.846012773384025</v>
      </c>
      <c r="H203" s="307">
        <f t="shared" ca="1" si="99"/>
        <v>182.90225385343757</v>
      </c>
      <c r="I203" s="304">
        <f t="shared" ca="1" si="100"/>
        <v>186.77675216019381</v>
      </c>
      <c r="J203" s="306">
        <f t="shared" ca="1" si="101"/>
        <v>45.809100449046454</v>
      </c>
      <c r="K203" s="307">
        <f t="shared" ca="1" si="102"/>
        <v>231.06524493992353</v>
      </c>
      <c r="L203" s="304">
        <f t="shared" ca="1" si="87"/>
        <v>235.56235077596267</v>
      </c>
      <c r="M203" s="306">
        <f t="shared" ca="1" si="103"/>
        <v>1.3667564990677405</v>
      </c>
      <c r="N203" s="304">
        <f t="shared" ca="1" si="104"/>
        <v>78.309379018657566</v>
      </c>
      <c r="P203" s="310">
        <f t="shared" ca="1" si="105"/>
        <v>23</v>
      </c>
      <c r="Q203" s="304">
        <f t="shared" ca="1" si="106"/>
        <v>0</v>
      </c>
      <c r="R203" s="306">
        <f t="shared" ca="1" si="107"/>
        <v>0</v>
      </c>
      <c r="S203" s="307">
        <f t="shared" ca="1" si="108"/>
        <v>8.5499999999999989</v>
      </c>
      <c r="T203" s="304">
        <f t="shared" ca="1" si="88"/>
        <v>83.875499999999988</v>
      </c>
      <c r="U203" s="311">
        <f t="shared" ca="1" si="89"/>
        <v>0</v>
      </c>
      <c r="V203" s="306">
        <f t="shared" ca="1" si="90"/>
        <v>1.1970177932674897</v>
      </c>
      <c r="W203" s="304">
        <f t="shared" ca="1" si="91"/>
        <v>129.40555082042377</v>
      </c>
      <c r="Y203" s="314" t="str">
        <f t="shared" ca="1" si="109"/>
        <v/>
      </c>
      <c r="Z203" s="315" t="str">
        <f t="shared" ca="1" si="110"/>
        <v/>
      </c>
      <c r="AA203" s="316" t="str">
        <f t="shared" ca="1" si="111"/>
        <v/>
      </c>
      <c r="AC203" s="310" t="e">
        <f t="shared" ca="1" si="112"/>
        <v>#N/A</v>
      </c>
      <c r="AD203" s="323" t="e">
        <f t="shared" ca="1" si="113"/>
        <v>#N/A</v>
      </c>
      <c r="AE203" s="324">
        <f t="shared" ca="1" si="92"/>
        <v>231.06524493992353</v>
      </c>
      <c r="AG203" s="306">
        <f t="shared" ca="1" si="114"/>
        <v>-24.784837380051577</v>
      </c>
      <c r="AH203" s="304">
        <f t="shared" ca="1" si="115"/>
        <v>-15.178124706140876</v>
      </c>
    </row>
    <row r="204" spans="1:34" x14ac:dyDescent="0.3">
      <c r="A204" s="347">
        <f t="shared" ca="1" si="93"/>
        <v>0.01</v>
      </c>
      <c r="B204" s="304">
        <f t="shared" ca="1" si="94"/>
        <v>2.0000000000000013</v>
      </c>
      <c r="D204" s="306">
        <f t="shared" ca="1" si="95"/>
        <v>-3.0667904581077292</v>
      </c>
      <c r="E204" s="307">
        <f t="shared" ca="1" si="96"/>
        <v>-24.631188436489673</v>
      </c>
      <c r="F204" s="304">
        <f t="shared" ca="1" si="97"/>
        <v>24.82137481099311</v>
      </c>
      <c r="G204" s="306">
        <f t="shared" ca="1" si="98"/>
        <v>37.815344868802946</v>
      </c>
      <c r="H204" s="307">
        <f t="shared" ca="1" si="99"/>
        <v>182.65594196907267</v>
      </c>
      <c r="I204" s="304">
        <f t="shared" ca="1" si="100"/>
        <v>186.5293366850259</v>
      </c>
      <c r="J204" s="306">
        <f t="shared" ca="1" si="101"/>
        <v>46.187407237257389</v>
      </c>
      <c r="K204" s="307">
        <f t="shared" ca="1" si="102"/>
        <v>232.89303591903609</v>
      </c>
      <c r="L204" s="304">
        <f t="shared" ca="1" si="87"/>
        <v>237.42881621000788</v>
      </c>
      <c r="M204" s="306">
        <f t="shared" ca="1" si="103"/>
        <v>1.3666499329425783</v>
      </c>
      <c r="N204" s="304">
        <f t="shared" ca="1" si="104"/>
        <v>78.303273229446702</v>
      </c>
      <c r="P204" s="310">
        <f t="shared" ca="1" si="105"/>
        <v>23</v>
      </c>
      <c r="Q204" s="304">
        <f t="shared" ca="1" si="106"/>
        <v>0</v>
      </c>
      <c r="R204" s="306">
        <f t="shared" ca="1" si="107"/>
        <v>0</v>
      </c>
      <c r="S204" s="307">
        <f t="shared" ca="1" si="108"/>
        <v>8.5499999999999989</v>
      </c>
      <c r="T204" s="304">
        <f t="shared" ca="1" si="88"/>
        <v>83.875499999999988</v>
      </c>
      <c r="U204" s="311">
        <f t="shared" ca="1" si="89"/>
        <v>0</v>
      </c>
      <c r="V204" s="306">
        <f t="shared" ca="1" si="90"/>
        <v>1.1967989939951404</v>
      </c>
      <c r="W204" s="304">
        <f t="shared" ca="1" si="91"/>
        <v>129.03935045250728</v>
      </c>
      <c r="Y204" s="314" t="str">
        <f t="shared" ca="1" si="109"/>
        <v/>
      </c>
      <c r="Z204" s="315" t="str">
        <f t="shared" ca="1" si="110"/>
        <v/>
      </c>
      <c r="AA204" s="316" t="str">
        <f t="shared" ca="1" si="111"/>
        <v/>
      </c>
      <c r="AC204" s="310">
        <f t="shared" ca="1" si="112"/>
        <v>2.0000000000000013</v>
      </c>
      <c r="AD204" s="323">
        <f t="shared" ca="1" si="113"/>
        <v>46.187407237257389</v>
      </c>
      <c r="AE204" s="324">
        <f t="shared" ca="1" si="92"/>
        <v>232.89303591903609</v>
      </c>
      <c r="AG204" s="306">
        <f t="shared" ca="1" si="114"/>
        <v>-24.741653431311772</v>
      </c>
      <c r="AH204" s="304">
        <f t="shared" ca="1" si="115"/>
        <v>-15.135152142739624</v>
      </c>
    </row>
    <row r="205" spans="1:34" x14ac:dyDescent="0.3">
      <c r="A205" s="347">
        <f t="shared" ca="1" si="93"/>
        <v>0.1</v>
      </c>
      <c r="B205" s="304">
        <f t="shared" ca="1" si="94"/>
        <v>2.1000000000000014</v>
      </c>
      <c r="D205" s="306">
        <f t="shared" ca="1" si="95"/>
        <v>-3.0596868017350412</v>
      </c>
      <c r="E205" s="307">
        <f t="shared" ca="1" si="96"/>
        <v>-24.588920484269131</v>
      </c>
      <c r="F205" s="304">
        <f t="shared" ca="1" si="97"/>
        <v>24.77855310356966</v>
      </c>
      <c r="G205" s="306">
        <f t="shared" ca="1" si="98"/>
        <v>37.509376188629439</v>
      </c>
      <c r="H205" s="307">
        <f t="shared" ca="1" si="99"/>
        <v>180.19704992064575</v>
      </c>
      <c r="I205" s="304">
        <f t="shared" ca="1" si="100"/>
        <v>184.05958302181338</v>
      </c>
      <c r="J205" s="306">
        <f t="shared" ca="1" si="101"/>
        <v>49.953643290129008</v>
      </c>
      <c r="K205" s="307">
        <f t="shared" ca="1" si="102"/>
        <v>251.03568551352203</v>
      </c>
      <c r="L205" s="304">
        <f t="shared" ca="1" si="87"/>
        <v>255.95757828046698</v>
      </c>
      <c r="M205" s="306">
        <f t="shared" ca="1" si="103"/>
        <v>1.3655694160084035</v>
      </c>
      <c r="N205" s="304">
        <f t="shared" ca="1" si="104"/>
        <v>78.241364169426078</v>
      </c>
      <c r="P205" s="310">
        <f t="shared" ca="1" si="105"/>
        <v>23</v>
      </c>
      <c r="Q205" s="304">
        <f t="shared" ca="1" si="106"/>
        <v>0</v>
      </c>
      <c r="R205" s="306">
        <f t="shared" ca="1" si="107"/>
        <v>0</v>
      </c>
      <c r="S205" s="307">
        <f t="shared" ca="1" si="108"/>
        <v>8.5499999999999989</v>
      </c>
      <c r="T205" s="304">
        <f t="shared" ca="1" si="88"/>
        <v>83.875499999999988</v>
      </c>
      <c r="U205" s="311">
        <f t="shared" ca="1" si="89"/>
        <v>0</v>
      </c>
      <c r="V205" s="306">
        <f t="shared" ca="1" si="90"/>
        <v>1.1946293345654371</v>
      </c>
      <c r="W205" s="304">
        <f t="shared" ca="1" si="91"/>
        <v>125.41708531098865</v>
      </c>
      <c r="Y205" s="314" t="str">
        <f t="shared" ca="1" si="109"/>
        <v/>
      </c>
      <c r="Z205" s="315" t="str">
        <f t="shared" ca="1" si="110"/>
        <v/>
      </c>
      <c r="AA205" s="316" t="str">
        <f t="shared" ca="1" si="111"/>
        <v/>
      </c>
      <c r="AC205" s="310" t="e">
        <f t="shared" ca="1" si="112"/>
        <v>#N/A</v>
      </c>
      <c r="AD205" s="323" t="e">
        <f t="shared" ca="1" si="113"/>
        <v>#N/A</v>
      </c>
      <c r="AE205" s="324">
        <f t="shared" ca="1" si="92"/>
        <v>251.03568551352203</v>
      </c>
      <c r="AG205" s="306">
        <f t="shared" ca="1" si="114"/>
        <v>-24.698611095338656</v>
      </c>
      <c r="AH205" s="304">
        <f t="shared" ca="1" si="115"/>
        <v>-15.09232169035173</v>
      </c>
    </row>
    <row r="206" spans="1:34" x14ac:dyDescent="0.3">
      <c r="A206" s="347">
        <f t="shared" ca="1" si="93"/>
        <v>0.1</v>
      </c>
      <c r="B206" s="304">
        <f t="shared" ca="1" si="94"/>
        <v>2.2000000000000015</v>
      </c>
      <c r="D206" s="306">
        <f t="shared" ca="1" si="95"/>
        <v>-2.9893171695320269</v>
      </c>
      <c r="E206" s="307">
        <f t="shared" ca="1" si="96"/>
        <v>-24.170839607620479</v>
      </c>
      <c r="F206" s="304">
        <f t="shared" ca="1" si="97"/>
        <v>24.354989313842328</v>
      </c>
      <c r="G206" s="306">
        <f t="shared" ca="1" si="98"/>
        <v>37.210444471676233</v>
      </c>
      <c r="H206" s="307">
        <f t="shared" ca="1" si="99"/>
        <v>177.7799659598837</v>
      </c>
      <c r="I206" s="304">
        <f t="shared" ca="1" si="100"/>
        <v>181.63241306131764</v>
      </c>
      <c r="J206" s="306">
        <f t="shared" ca="1" si="101"/>
        <v>53.68963432314429</v>
      </c>
      <c r="K206" s="307">
        <f t="shared" ca="1" si="102"/>
        <v>268.93453630754851</v>
      </c>
      <c r="L206" s="304">
        <f t="shared" ca="1" si="87"/>
        <v>274.24142949727542</v>
      </c>
      <c r="M206" s="306">
        <f t="shared" ca="1" si="103"/>
        <v>1.3644687459562501</v>
      </c>
      <c r="N206" s="304">
        <f t="shared" ca="1" si="104"/>
        <v>78.17830042080125</v>
      </c>
      <c r="P206" s="310">
        <f t="shared" ca="1" si="105"/>
        <v>23</v>
      </c>
      <c r="Q206" s="304">
        <f t="shared" ca="1" si="106"/>
        <v>0</v>
      </c>
      <c r="R206" s="306">
        <f t="shared" ca="1" si="107"/>
        <v>0</v>
      </c>
      <c r="S206" s="307">
        <f t="shared" ca="1" si="108"/>
        <v>8.5499999999999989</v>
      </c>
      <c r="T206" s="304">
        <f t="shared" ca="1" si="88"/>
        <v>83.875499999999988</v>
      </c>
      <c r="U206" s="311">
        <f t="shared" ca="1" si="89"/>
        <v>0</v>
      </c>
      <c r="V206" s="306">
        <f t="shared" ca="1" si="90"/>
        <v>1.192492636932976</v>
      </c>
      <c r="W206" s="304">
        <f t="shared" ca="1" si="91"/>
        <v>121.9127345614296</v>
      </c>
      <c r="Y206" s="314" t="str">
        <f t="shared" ca="1" si="109"/>
        <v/>
      </c>
      <c r="Z206" s="315" t="str">
        <f t="shared" ca="1" si="110"/>
        <v/>
      </c>
      <c r="AA206" s="316" t="str">
        <f t="shared" ca="1" si="111"/>
        <v/>
      </c>
      <c r="AC206" s="310" t="e">
        <f t="shared" ca="1" si="112"/>
        <v>#N/A</v>
      </c>
      <c r="AD206" s="323" t="e">
        <f t="shared" ca="1" si="113"/>
        <v>#N/A</v>
      </c>
      <c r="AE206" s="324">
        <f t="shared" ca="1" si="92"/>
        <v>268.93453630754851</v>
      </c>
      <c r="AG206" s="306">
        <f t="shared" ca="1" si="114"/>
        <v>-24.27279982008838</v>
      </c>
      <c r="AH206" s="304">
        <f t="shared" ca="1" si="115"/>
        <v>-14.668664948653646</v>
      </c>
    </row>
    <row r="207" spans="1:34" x14ac:dyDescent="0.3">
      <c r="A207" s="347">
        <f t="shared" ca="1" si="93"/>
        <v>0.1</v>
      </c>
      <c r="B207" s="304">
        <f t="shared" ca="1" si="94"/>
        <v>2.3000000000000016</v>
      </c>
      <c r="D207" s="306">
        <f t="shared" ca="1" si="95"/>
        <v>-2.9211540661766313</v>
      </c>
      <c r="E207" s="307">
        <f t="shared" ca="1" si="96"/>
        <v>-23.766368375114531</v>
      </c>
      <c r="F207" s="304">
        <f t="shared" ca="1" si="97"/>
        <v>23.945216783733329</v>
      </c>
      <c r="G207" s="306">
        <f t="shared" ca="1" si="98"/>
        <v>36.918329065058572</v>
      </c>
      <c r="H207" s="307">
        <f t="shared" ca="1" si="99"/>
        <v>175.40332912237224</v>
      </c>
      <c r="I207" s="304">
        <f t="shared" ca="1" si="100"/>
        <v>179.24645293050344</v>
      </c>
      <c r="J207" s="306">
        <f t="shared" ca="1" si="101"/>
        <v>57.39607299998103</v>
      </c>
      <c r="K207" s="307">
        <f t="shared" ca="1" si="102"/>
        <v>286.59370106166131</v>
      </c>
      <c r="L207" s="304">
        <f t="shared" ca="1" si="87"/>
        <v>292.28455088156818</v>
      </c>
      <c r="M207" s="306">
        <f t="shared" ca="1" si="103"/>
        <v>1.3633475280293896</v>
      </c>
      <c r="N207" s="304">
        <f t="shared" ca="1" si="104"/>
        <v>78.114059365677733</v>
      </c>
      <c r="P207" s="310">
        <f t="shared" ca="1" si="105"/>
        <v>23</v>
      </c>
      <c r="Q207" s="304">
        <f t="shared" ca="1" si="106"/>
        <v>0</v>
      </c>
      <c r="R207" s="306">
        <f t="shared" ca="1" si="107"/>
        <v>0</v>
      </c>
      <c r="S207" s="307">
        <f t="shared" ca="1" si="108"/>
        <v>8.5499999999999989</v>
      </c>
      <c r="T207" s="304">
        <f t="shared" ca="1" si="88"/>
        <v>83.875499999999988</v>
      </c>
      <c r="U207" s="311">
        <f t="shared" ca="1" si="89"/>
        <v>0</v>
      </c>
      <c r="V207" s="306">
        <f t="shared" ca="1" si="90"/>
        <v>1.1903882471375999</v>
      </c>
      <c r="W207" s="304">
        <f t="shared" ca="1" si="91"/>
        <v>118.52130699776662</v>
      </c>
      <c r="Y207" s="314" t="str">
        <f t="shared" ca="1" si="109"/>
        <v/>
      </c>
      <c r="Z207" s="315" t="str">
        <f t="shared" ca="1" si="110"/>
        <v/>
      </c>
      <c r="AA207" s="316" t="str">
        <f t="shared" ca="1" si="111"/>
        <v/>
      </c>
      <c r="AC207" s="310" t="e">
        <f t="shared" ca="1" si="112"/>
        <v>#N/A</v>
      </c>
      <c r="AD207" s="323" t="e">
        <f t="shared" ca="1" si="113"/>
        <v>#N/A</v>
      </c>
      <c r="AE207" s="324">
        <f t="shared" ca="1" si="92"/>
        <v>286.59370106166131</v>
      </c>
      <c r="AG207" s="306">
        <f t="shared" ca="1" si="114"/>
        <v>-23.860727988167572</v>
      </c>
      <c r="AH207" s="304">
        <f t="shared" ca="1" si="115"/>
        <v>-14.258799363909898</v>
      </c>
    </row>
    <row r="208" spans="1:34" x14ac:dyDescent="0.3">
      <c r="A208" s="347">
        <f t="shared" ca="1" si="93"/>
        <v>0.1</v>
      </c>
      <c r="B208" s="304">
        <f t="shared" ca="1" si="94"/>
        <v>2.4000000000000017</v>
      </c>
      <c r="D208" s="306">
        <f t="shared" ca="1" si="95"/>
        <v>-2.8551030208336661</v>
      </c>
      <c r="E208" s="307">
        <f t="shared" ca="1" si="96"/>
        <v>-23.37493068684261</v>
      </c>
      <c r="F208" s="304">
        <f t="shared" ca="1" si="97"/>
        <v>23.54865172094296</v>
      </c>
      <c r="G208" s="306">
        <f t="shared" ca="1" si="98"/>
        <v>36.632818762975205</v>
      </c>
      <c r="H208" s="307">
        <f t="shared" ca="1" si="99"/>
        <v>173.06583605368797</v>
      </c>
      <c r="I208" s="304">
        <f t="shared" ca="1" si="100"/>
        <v>176.90038727906446</v>
      </c>
      <c r="J208" s="306">
        <f t="shared" ca="1" si="101"/>
        <v>61.073630391382721</v>
      </c>
      <c r="K208" s="307">
        <f t="shared" ca="1" si="102"/>
        <v>304.01715932046432</v>
      </c>
      <c r="L208" s="304">
        <f t="shared" ca="1" si="87"/>
        <v>310.09098905074268</v>
      </c>
      <c r="M208" s="306">
        <f t="shared" ca="1" si="103"/>
        <v>1.3622053553061868</v>
      </c>
      <c r="N208" s="304">
        <f t="shared" ca="1" si="104"/>
        <v>78.048617689163251</v>
      </c>
      <c r="P208" s="310">
        <f t="shared" ca="1" si="105"/>
        <v>23</v>
      </c>
      <c r="Q208" s="304">
        <f t="shared" ca="1" si="106"/>
        <v>0</v>
      </c>
      <c r="R208" s="306">
        <f t="shared" ca="1" si="107"/>
        <v>0</v>
      </c>
      <c r="S208" s="307">
        <f t="shared" ca="1" si="108"/>
        <v>8.5499999999999989</v>
      </c>
      <c r="T208" s="304">
        <f t="shared" ca="1" si="88"/>
        <v>83.875499999999988</v>
      </c>
      <c r="U208" s="311">
        <f t="shared" ca="1" si="89"/>
        <v>0</v>
      </c>
      <c r="V208" s="306">
        <f t="shared" ca="1" si="90"/>
        <v>1.1883155333503439</v>
      </c>
      <c r="W208" s="304">
        <f t="shared" ca="1" si="91"/>
        <v>115.23807703661893</v>
      </c>
      <c r="Y208" s="314" t="str">
        <f t="shared" ca="1" si="109"/>
        <v/>
      </c>
      <c r="Z208" s="315" t="str">
        <f t="shared" ca="1" si="110"/>
        <v/>
      </c>
      <c r="AA208" s="316" t="str">
        <f t="shared" ca="1" si="111"/>
        <v/>
      </c>
      <c r="AC208" s="310" t="e">
        <f t="shared" ca="1" si="112"/>
        <v>#N/A</v>
      </c>
      <c r="AD208" s="323" t="e">
        <f t="shared" ca="1" si="113"/>
        <v>#N/A</v>
      </c>
      <c r="AE208" s="324">
        <f t="shared" ca="1" si="92"/>
        <v>304.01715932046432</v>
      </c>
      <c r="AG208" s="306">
        <f t="shared" ca="1" si="114"/>
        <v>-23.461810398809892</v>
      </c>
      <c r="AH208" s="304">
        <f t="shared" ca="1" si="115"/>
        <v>-13.86214116932943</v>
      </c>
    </row>
    <row r="209" spans="1:34" x14ac:dyDescent="0.3">
      <c r="A209" s="347">
        <f t="shared" ca="1" si="93"/>
        <v>0.1</v>
      </c>
      <c r="B209" s="304">
        <f t="shared" ca="1" si="94"/>
        <v>2.5000000000000018</v>
      </c>
      <c r="D209" s="306">
        <f t="shared" ca="1" si="95"/>
        <v>-2.7910745812512432</v>
      </c>
      <c r="E209" s="307">
        <f t="shared" ca="1" si="96"/>
        <v>-22.995981101204585</v>
      </c>
      <c r="F209" s="304">
        <f t="shared" ca="1" si="97"/>
        <v>23.164741399917787</v>
      </c>
      <c r="G209" s="306">
        <f t="shared" ca="1" si="98"/>
        <v>36.35371130485008</v>
      </c>
      <c r="H209" s="307">
        <f t="shared" ca="1" si="99"/>
        <v>170.76623794356752</v>
      </c>
      <c r="I209" s="304">
        <f t="shared" ca="1" si="100"/>
        <v>174.59295617817892</v>
      </c>
      <c r="J209" s="306">
        <f t="shared" ca="1" si="101"/>
        <v>64.722956894773986</v>
      </c>
      <c r="K209" s="307">
        <f t="shared" ca="1" si="102"/>
        <v>321.20876302032707</v>
      </c>
      <c r="L209" s="304">
        <f t="shared" ca="1" si="87"/>
        <v>327.66466179655595</v>
      </c>
      <c r="M209" s="306">
        <f t="shared" ca="1" si="103"/>
        <v>1.3610418082798306</v>
      </c>
      <c r="N209" s="304">
        <f t="shared" ca="1" si="104"/>
        <v>77.981951355288032</v>
      </c>
      <c r="P209" s="310">
        <f t="shared" ca="1" si="105"/>
        <v>23</v>
      </c>
      <c r="Q209" s="304">
        <f t="shared" ca="1" si="106"/>
        <v>0</v>
      </c>
      <c r="R209" s="306">
        <f t="shared" ca="1" si="107"/>
        <v>0</v>
      </c>
      <c r="S209" s="307">
        <f t="shared" ca="1" si="108"/>
        <v>8.5499999999999989</v>
      </c>
      <c r="T209" s="304">
        <f t="shared" ca="1" si="88"/>
        <v>83.875499999999988</v>
      </c>
      <c r="U209" s="311">
        <f t="shared" ca="1" si="89"/>
        <v>0</v>
      </c>
      <c r="V209" s="306">
        <f t="shared" ca="1" si="90"/>
        <v>1.1862738849063015</v>
      </c>
      <c r="W209" s="304">
        <f t="shared" ca="1" si="91"/>
        <v>112.05856786538618</v>
      </c>
      <c r="Y209" s="314" t="str">
        <f t="shared" ca="1" si="109"/>
        <v/>
      </c>
      <c r="Z209" s="315" t="str">
        <f t="shared" ca="1" si="110"/>
        <v/>
      </c>
      <c r="AA209" s="316" t="str">
        <f t="shared" ca="1" si="111"/>
        <v/>
      </c>
      <c r="AC209" s="310" t="e">
        <f t="shared" ca="1" si="112"/>
        <v>#N/A</v>
      </c>
      <c r="AD209" s="323" t="e">
        <f t="shared" ca="1" si="113"/>
        <v>#N/A</v>
      </c>
      <c r="AE209" s="324">
        <f t="shared" ca="1" si="92"/>
        <v>321.20876302032707</v>
      </c>
      <c r="AG209" s="306">
        <f t="shared" ca="1" si="114"/>
        <v>-23.075492864829929</v>
      </c>
      <c r="AH209" s="304">
        <f t="shared" ca="1" si="115"/>
        <v>-13.478137665101631</v>
      </c>
    </row>
    <row r="210" spans="1:34" x14ac:dyDescent="0.3">
      <c r="A210" s="347">
        <f t="shared" ca="1" si="93"/>
        <v>0.1</v>
      </c>
      <c r="B210" s="304">
        <f t="shared" ca="1" si="94"/>
        <v>2.6000000000000019</v>
      </c>
      <c r="D210" s="306">
        <f t="shared" ca="1" si="95"/>
        <v>-2.7289839952249602</v>
      </c>
      <c r="E210" s="307">
        <f t="shared" ca="1" si="96"/>
        <v>-22.629002889825998</v>
      </c>
      <c r="F210" s="304">
        <f t="shared" ca="1" si="97"/>
        <v>22.792962190859427</v>
      </c>
      <c r="G210" s="306">
        <f t="shared" ca="1" si="98"/>
        <v>36.080812905327583</v>
      </c>
      <c r="H210" s="307">
        <f t="shared" ca="1" si="99"/>
        <v>168.50333765458493</v>
      </c>
      <c r="I210" s="304">
        <f t="shared" ca="1" si="100"/>
        <v>172.32295221659913</v>
      </c>
      <c r="J210" s="306">
        <f t="shared" ca="1" si="101"/>
        <v>68.344683105282868</v>
      </c>
      <c r="K210" s="307">
        <f t="shared" ca="1" si="102"/>
        <v>338.1722418002347</v>
      </c>
      <c r="L210" s="304">
        <f t="shared" ca="1" si="87"/>
        <v>345.00936339896333</v>
      </c>
      <c r="M210" s="306">
        <f t="shared" ca="1" si="103"/>
        <v>1.3598564544195579</v>
      </c>
      <c r="N210" s="304">
        <f t="shared" ca="1" si="104"/>
        <v>77.91403558186488</v>
      </c>
      <c r="P210" s="310">
        <f t="shared" ca="1" si="105"/>
        <v>23</v>
      </c>
      <c r="Q210" s="304">
        <f t="shared" ca="1" si="106"/>
        <v>0</v>
      </c>
      <c r="R210" s="306">
        <f t="shared" ca="1" si="107"/>
        <v>0</v>
      </c>
      <c r="S210" s="307">
        <f t="shared" ca="1" si="108"/>
        <v>8.5499999999999989</v>
      </c>
      <c r="T210" s="304">
        <f t="shared" ca="1" si="88"/>
        <v>83.875499999999988</v>
      </c>
      <c r="U210" s="311">
        <f t="shared" ca="1" si="89"/>
        <v>0</v>
      </c>
      <c r="V210" s="306">
        <f t="shared" ca="1" si="90"/>
        <v>1.1842627113901736</v>
      </c>
      <c r="W210" s="304">
        <f t="shared" ca="1" si="91"/>
        <v>108.97853583047166</v>
      </c>
      <c r="Y210" s="314" t="str">
        <f t="shared" ca="1" si="109"/>
        <v/>
      </c>
      <c r="Z210" s="315" t="str">
        <f t="shared" ca="1" si="110"/>
        <v/>
      </c>
      <c r="AA210" s="316" t="str">
        <f t="shared" ca="1" si="111"/>
        <v/>
      </c>
      <c r="AC210" s="310" t="e">
        <f t="shared" ca="1" si="112"/>
        <v>#N/A</v>
      </c>
      <c r="AD210" s="323" t="e">
        <f t="shared" ca="1" si="113"/>
        <v>#N/A</v>
      </c>
      <c r="AE210" s="324">
        <f t="shared" ca="1" si="92"/>
        <v>338.1722418002347</v>
      </c>
      <c r="AG210" s="306">
        <f t="shared" ca="1" si="114"/>
        <v>-22.701250239344041</v>
      </c>
      <c r="AH210" s="304">
        <f t="shared" ca="1" si="115"/>
        <v>-13.106265247413591</v>
      </c>
    </row>
    <row r="211" spans="1:34" x14ac:dyDescent="0.3">
      <c r="A211" s="347">
        <f t="shared" ca="1" si="93"/>
        <v>0.1</v>
      </c>
      <c r="B211" s="304">
        <f t="shared" ca="1" si="94"/>
        <v>2.700000000000002</v>
      </c>
      <c r="D211" s="306">
        <f t="shared" ca="1" si="95"/>
        <v>-2.6687509155059401</v>
      </c>
      <c r="E211" s="307">
        <f t="shared" ca="1" si="96"/>
        <v>-22.273506235611439</v>
      </c>
      <c r="F211" s="304">
        <f t="shared" ca="1" si="97"/>
        <v>22.432817733776456</v>
      </c>
      <c r="G211" s="306">
        <f t="shared" ca="1" si="98"/>
        <v>35.813937813776988</v>
      </c>
      <c r="H211" s="307">
        <f t="shared" ca="1" si="99"/>
        <v>166.27598703102379</v>
      </c>
      <c r="I211" s="304">
        <f t="shared" ca="1" si="100"/>
        <v>170.08921777958261</v>
      </c>
      <c r="J211" s="306">
        <f t="shared" ca="1" si="101"/>
        <v>71.939420641238101</v>
      </c>
      <c r="K211" s="307">
        <f t="shared" ca="1" si="102"/>
        <v>354.91120803451514</v>
      </c>
      <c r="L211" s="304">
        <f t="shared" ca="1" si="87"/>
        <v>362.12876968105678</v>
      </c>
      <c r="M211" s="306">
        <f t="shared" ca="1" si="103"/>
        <v>1.3586488477124659</v>
      </c>
      <c r="N211" s="304">
        <f t="shared" ca="1" si="104"/>
        <v>77.844844814236808</v>
      </c>
      <c r="P211" s="310">
        <f t="shared" ca="1" si="105"/>
        <v>23</v>
      </c>
      <c r="Q211" s="304">
        <f t="shared" ca="1" si="106"/>
        <v>0</v>
      </c>
      <c r="R211" s="306">
        <f t="shared" ca="1" si="107"/>
        <v>0</v>
      </c>
      <c r="S211" s="307">
        <f t="shared" ca="1" si="108"/>
        <v>8.5499999999999989</v>
      </c>
      <c r="T211" s="304">
        <f t="shared" ca="1" si="88"/>
        <v>83.875499999999988</v>
      </c>
      <c r="U211" s="311">
        <f t="shared" ca="1" si="89"/>
        <v>0</v>
      </c>
      <c r="V211" s="306">
        <f t="shared" ca="1" si="90"/>
        <v>1.1822814417710976</v>
      </c>
      <c r="W211" s="304">
        <f t="shared" ca="1" si="91"/>
        <v>105.993955962096</v>
      </c>
      <c r="Y211" s="314" t="str">
        <f t="shared" ca="1" si="109"/>
        <v/>
      </c>
      <c r="Z211" s="315" t="str">
        <f t="shared" ca="1" si="110"/>
        <v/>
      </c>
      <c r="AA211" s="316" t="str">
        <f t="shared" ca="1" si="111"/>
        <v/>
      </c>
      <c r="AC211" s="310" t="e">
        <f t="shared" ca="1" si="112"/>
        <v>#N/A</v>
      </c>
      <c r="AD211" s="323" t="e">
        <f t="shared" ca="1" si="113"/>
        <v>#N/A</v>
      </c>
      <c r="AE211" s="324">
        <f t="shared" ca="1" si="92"/>
        <v>354.91120803451514</v>
      </c>
      <c r="AG211" s="306">
        <f t="shared" ca="1" si="114"/>
        <v>-22.338584587417643</v>
      </c>
      <c r="AH211" s="304">
        <f t="shared" ca="1" si="115"/>
        <v>-12.746027582511307</v>
      </c>
    </row>
    <row r="212" spans="1:34" x14ac:dyDescent="0.3">
      <c r="A212" s="347">
        <f t="shared" ca="1" si="93"/>
        <v>0.1</v>
      </c>
      <c r="B212" s="304">
        <f t="shared" ca="1" si="94"/>
        <v>2.800000000000002</v>
      </c>
      <c r="D212" s="306">
        <f t="shared" ca="1" si="95"/>
        <v>-2.610299126195661</v>
      </c>
      <c r="E212" s="307">
        <f t="shared" ca="1" si="96"/>
        <v>-21.929026561983882</v>
      </c>
      <c r="F212" s="304">
        <f t="shared" ca="1" si="97"/>
        <v>22.0838372454701</v>
      </c>
      <c r="G212" s="306">
        <f t="shared" ca="1" si="98"/>
        <v>35.552907901157425</v>
      </c>
      <c r="H212" s="307">
        <f t="shared" ca="1" si="99"/>
        <v>164.0830843748254</v>
      </c>
      <c r="I212" s="304">
        <f t="shared" ca="1" si="100"/>
        <v>167.89064249738357</v>
      </c>
      <c r="J212" s="306">
        <f t="shared" ca="1" si="101"/>
        <v>75.507762926984825</v>
      </c>
      <c r="K212" s="307">
        <f t="shared" ca="1" si="102"/>
        <v>371.42916160480758</v>
      </c>
      <c r="L212" s="304">
        <f t="shared" ca="1" si="87"/>
        <v>379.0264428145984</v>
      </c>
      <c r="M212" s="306">
        <f t="shared" ca="1" si="103"/>
        <v>1.3574185281849651</v>
      </c>
      <c r="N212" s="304">
        <f t="shared" ca="1" si="104"/>
        <v>77.77435269785849</v>
      </c>
      <c r="P212" s="310">
        <f t="shared" ca="1" si="105"/>
        <v>23</v>
      </c>
      <c r="Q212" s="304">
        <f t="shared" ca="1" si="106"/>
        <v>0</v>
      </c>
      <c r="R212" s="306">
        <f t="shared" ca="1" si="107"/>
        <v>0</v>
      </c>
      <c r="S212" s="307">
        <f t="shared" ca="1" si="108"/>
        <v>8.5499999999999989</v>
      </c>
      <c r="T212" s="304">
        <f t="shared" ca="1" si="88"/>
        <v>83.875499999999988</v>
      </c>
      <c r="U212" s="311">
        <f t="shared" ca="1" si="89"/>
        <v>0</v>
      </c>
      <c r="V212" s="306">
        <f t="shared" ca="1" si="90"/>
        <v>1.1803295235836027</v>
      </c>
      <c r="W212" s="304">
        <f t="shared" ca="1" si="91"/>
        <v>103.10100854181475</v>
      </c>
      <c r="Y212" s="314" t="str">
        <f t="shared" ca="1" si="109"/>
        <v/>
      </c>
      <c r="Z212" s="315" t="str">
        <f t="shared" ca="1" si="110"/>
        <v/>
      </c>
      <c r="AA212" s="316" t="str">
        <f t="shared" ca="1" si="111"/>
        <v/>
      </c>
      <c r="AC212" s="310" t="e">
        <f t="shared" ca="1" si="112"/>
        <v>#N/A</v>
      </c>
      <c r="AD212" s="323" t="e">
        <f t="shared" ca="1" si="113"/>
        <v>#N/A</v>
      </c>
      <c r="AE212" s="324">
        <f t="shared" ca="1" si="92"/>
        <v>371.42916160480758</v>
      </c>
      <c r="AG212" s="306">
        <f t="shared" ca="1" si="114"/>
        <v>-21.98702349052283</v>
      </c>
      <c r="AH212" s="304">
        <f t="shared" ca="1" si="115"/>
        <v>-12.396953913695439</v>
      </c>
    </row>
    <row r="213" spans="1:34" x14ac:dyDescent="0.3">
      <c r="A213" s="347">
        <f t="shared" ca="1" si="93"/>
        <v>0.1</v>
      </c>
      <c r="B213" s="304">
        <f t="shared" ca="1" si="94"/>
        <v>2.9000000000000021</v>
      </c>
      <c r="D213" s="306">
        <f t="shared" ca="1" si="95"/>
        <v>-2.553556288852755</v>
      </c>
      <c r="E213" s="307">
        <f t="shared" ca="1" si="96"/>
        <v>-21.595122982473463</v>
      </c>
      <c r="F213" s="304">
        <f t="shared" ca="1" si="97"/>
        <v>21.745573948472664</v>
      </c>
      <c r="G213" s="306">
        <f t="shared" ca="1" si="98"/>
        <v>35.297552272272149</v>
      </c>
      <c r="H213" s="307">
        <f t="shared" ca="1" si="99"/>
        <v>161.92357207657807</v>
      </c>
      <c r="I213" s="304">
        <f t="shared" ca="1" si="100"/>
        <v>165.72616085112381</v>
      </c>
      <c r="J213" s="306">
        <f t="shared" ca="1" si="101"/>
        <v>79.050285935656305</v>
      </c>
      <c r="K213" s="307">
        <f t="shared" ca="1" si="102"/>
        <v>387.72949442737774</v>
      </c>
      <c r="L213" s="304">
        <f t="shared" ca="1" si="87"/>
        <v>395.7058358874923</v>
      </c>
      <c r="M213" s="306">
        <f t="shared" ca="1" si="103"/>
        <v>1.35616502140287</v>
      </c>
      <c r="N213" s="304">
        <f t="shared" ca="1" si="104"/>
        <v>77.702532049653414</v>
      </c>
      <c r="P213" s="310">
        <f t="shared" ca="1" si="105"/>
        <v>23</v>
      </c>
      <c r="Q213" s="304">
        <f t="shared" ca="1" si="106"/>
        <v>0</v>
      </c>
      <c r="R213" s="306">
        <f t="shared" ca="1" si="107"/>
        <v>0</v>
      </c>
      <c r="S213" s="307">
        <f t="shared" ca="1" si="108"/>
        <v>8.5499999999999989</v>
      </c>
      <c r="T213" s="304">
        <f t="shared" ca="1" si="88"/>
        <v>83.875499999999988</v>
      </c>
      <c r="U213" s="311">
        <f t="shared" ca="1" si="89"/>
        <v>0</v>
      </c>
      <c r="V213" s="306">
        <f t="shared" ca="1" si="90"/>
        <v>1.1784064221517789</v>
      </c>
      <c r="W213" s="304">
        <f t="shared" ca="1" si="91"/>
        <v>100.29606662751331</v>
      </c>
      <c r="Y213" s="314" t="str">
        <f t="shared" ca="1" si="109"/>
        <v/>
      </c>
      <c r="Z213" s="315" t="str">
        <f t="shared" ca="1" si="110"/>
        <v/>
      </c>
      <c r="AA213" s="316" t="str">
        <f t="shared" ca="1" si="111"/>
        <v/>
      </c>
      <c r="AC213" s="310" t="e">
        <f t="shared" ca="1" si="112"/>
        <v>#N/A</v>
      </c>
      <c r="AD213" s="323" t="e">
        <f t="shared" ca="1" si="113"/>
        <v>#N/A</v>
      </c>
      <c r="AE213" s="324">
        <f t="shared" ca="1" si="92"/>
        <v>387.72949442737774</v>
      </c>
      <c r="AG213" s="306">
        <f t="shared" ca="1" si="114"/>
        <v>-21.646118472818181</v>
      </c>
      <c r="AH213" s="304">
        <f t="shared" ca="1" si="115"/>
        <v>-12.058597490270733</v>
      </c>
    </row>
    <row r="214" spans="1:34" x14ac:dyDescent="0.3">
      <c r="A214" s="347">
        <f t="shared" ca="1" si="93"/>
        <v>0.1</v>
      </c>
      <c r="B214" s="304">
        <f t="shared" ca="1" si="94"/>
        <v>3.0000000000000022</v>
      </c>
      <c r="D214" s="306">
        <f t="shared" ca="1" si="95"/>
        <v>-2.498453706700797</v>
      </c>
      <c r="E214" s="307">
        <f t="shared" ca="1" si="96"/>
        <v>-21.271376860818744</v>
      </c>
      <c r="F214" s="304">
        <f t="shared" ca="1" si="97"/>
        <v>21.41760361197074</v>
      </c>
      <c r="G214" s="306">
        <f t="shared" ca="1" si="98"/>
        <v>35.047706901602069</v>
      </c>
      <c r="H214" s="307">
        <f t="shared" ca="1" si="99"/>
        <v>159.79643439049619</v>
      </c>
      <c r="I214" s="304">
        <f t="shared" ca="1" si="100"/>
        <v>163.59474992485778</v>
      </c>
      <c r="J214" s="306">
        <f t="shared" ca="1" si="101"/>
        <v>82.567548894350011</v>
      </c>
      <c r="K214" s="307">
        <f t="shared" ca="1" si="102"/>
        <v>403.81549475073143</v>
      </c>
      <c r="L214" s="304">
        <f t="shared" ca="1" si="87"/>
        <v>412.17029724520285</v>
      </c>
      <c r="M214" s="306">
        <f t="shared" ca="1" si="103"/>
        <v>1.3548878379490632</v>
      </c>
      <c r="N214" s="304">
        <f t="shared" ca="1" si="104"/>
        <v>77.629354828086335</v>
      </c>
      <c r="P214" s="310">
        <f t="shared" ca="1" si="105"/>
        <v>23</v>
      </c>
      <c r="Q214" s="304">
        <f t="shared" ca="1" si="106"/>
        <v>0</v>
      </c>
      <c r="R214" s="306">
        <f t="shared" ca="1" si="107"/>
        <v>0</v>
      </c>
      <c r="S214" s="307">
        <f t="shared" ca="1" si="108"/>
        <v>8.5499999999999989</v>
      </c>
      <c r="T214" s="304">
        <f t="shared" ca="1" si="88"/>
        <v>83.875499999999988</v>
      </c>
      <c r="U214" s="311">
        <f t="shared" ca="1" si="89"/>
        <v>0</v>
      </c>
      <c r="V214" s="306">
        <f t="shared" ca="1" si="90"/>
        <v>1.1765116198539523</v>
      </c>
      <c r="W214" s="304">
        <f t="shared" ca="1" si="91"/>
        <v>97.575684458427673</v>
      </c>
      <c r="Y214" s="314" t="str">
        <f t="shared" ca="1" si="109"/>
        <v/>
      </c>
      <c r="Z214" s="315" t="str">
        <f t="shared" ca="1" si="110"/>
        <v/>
      </c>
      <c r="AA214" s="316" t="str">
        <f t="shared" ca="1" si="111"/>
        <v/>
      </c>
      <c r="AC214" s="310">
        <f t="shared" ca="1" si="112"/>
        <v>3.0000000000000022</v>
      </c>
      <c r="AD214" s="323">
        <f t="shared" ca="1" si="113"/>
        <v>82.567548894350011</v>
      </c>
      <c r="AE214" s="324">
        <f t="shared" ca="1" si="92"/>
        <v>403.81549475073143</v>
      </c>
      <c r="AG214" s="306">
        <f t="shared" ca="1" si="114"/>
        <v>-21.315443539275158</v>
      </c>
      <c r="AH214" s="304">
        <f t="shared" ca="1" si="115"/>
        <v>-11.730534108481091</v>
      </c>
    </row>
    <row r="215" spans="1:34" x14ac:dyDescent="0.3">
      <c r="A215" s="347">
        <f t="shared" ca="1" si="93"/>
        <v>0.1</v>
      </c>
      <c r="B215" s="304">
        <f t="shared" ca="1" si="94"/>
        <v>3.1000000000000023</v>
      </c>
      <c r="D215" s="306">
        <f t="shared" ca="1" si="95"/>
        <v>-2.4449261054730012</v>
      </c>
      <c r="E215" s="307">
        <f t="shared" ca="1" si="96"/>
        <v>-20.957390472640846</v>
      </c>
      <c r="F215" s="304">
        <f t="shared" ca="1" si="97"/>
        <v>21.099523195654463</v>
      </c>
      <c r="G215" s="306">
        <f t="shared" ca="1" si="98"/>
        <v>34.803214291054772</v>
      </c>
      <c r="H215" s="307">
        <f t="shared" ca="1" si="99"/>
        <v>157.7006953432321</v>
      </c>
      <c r="I215" s="304">
        <f t="shared" ca="1" si="100"/>
        <v>161.49542729355522</v>
      </c>
      <c r="J215" s="306">
        <f t="shared" ca="1" si="101"/>
        <v>86.060094953982855</v>
      </c>
      <c r="K215" s="307">
        <f t="shared" ca="1" si="102"/>
        <v>419.69035123741787</v>
      </c>
      <c r="L215" s="304">
        <f t="shared" ca="1" si="87"/>
        <v>428.42307461815795</v>
      </c>
      <c r="M215" s="306">
        <f t="shared" ca="1" si="103"/>
        <v>1.3535864728776099</v>
      </c>
      <c r="N215" s="304">
        <f t="shared" ca="1" si="104"/>
        <v>77.554792101886321</v>
      </c>
      <c r="P215" s="310">
        <f t="shared" ca="1" si="105"/>
        <v>23</v>
      </c>
      <c r="Q215" s="304">
        <f t="shared" ca="1" si="106"/>
        <v>0</v>
      </c>
      <c r="R215" s="306">
        <f t="shared" ca="1" si="107"/>
        <v>0</v>
      </c>
      <c r="S215" s="307">
        <f t="shared" ca="1" si="108"/>
        <v>8.5499999999999989</v>
      </c>
      <c r="T215" s="304">
        <f t="shared" ca="1" si="88"/>
        <v>83.875499999999988</v>
      </c>
      <c r="U215" s="311">
        <f t="shared" ca="1" si="89"/>
        <v>0</v>
      </c>
      <c r="V215" s="306">
        <f t="shared" ca="1" si="90"/>
        <v>1.1746446154253576</v>
      </c>
      <c r="W215" s="304">
        <f t="shared" ca="1" si="91"/>
        <v>94.936586669738759</v>
      </c>
      <c r="Y215" s="314" t="str">
        <f t="shared" ca="1" si="109"/>
        <v/>
      </c>
      <c r="Z215" s="315" t="str">
        <f t="shared" ca="1" si="110"/>
        <v/>
      </c>
      <c r="AA215" s="316" t="str">
        <f t="shared" ca="1" si="111"/>
        <v/>
      </c>
      <c r="AC215" s="310" t="e">
        <f t="shared" ca="1" si="112"/>
        <v>#N/A</v>
      </c>
      <c r="AD215" s="323" t="e">
        <f t="shared" ca="1" si="113"/>
        <v>#N/A</v>
      </c>
      <c r="AE215" s="324">
        <f t="shared" ca="1" si="92"/>
        <v>419.69035123741787</v>
      </c>
      <c r="AG215" s="306">
        <f t="shared" ca="1" si="114"/>
        <v>-20.994593816584185</v>
      </c>
      <c r="AH215" s="304">
        <f t="shared" ca="1" si="115"/>
        <v>-11.41236075537166</v>
      </c>
    </row>
    <row r="216" spans="1:34" x14ac:dyDescent="0.3">
      <c r="A216" s="347">
        <f t="shared" ca="1" si="93"/>
        <v>0.1</v>
      </c>
      <c r="B216" s="304">
        <f t="shared" ca="1" si="94"/>
        <v>3.2000000000000024</v>
      </c>
      <c r="D216" s="306">
        <f t="shared" ca="1" si="95"/>
        <v>-2.3929114295621607</v>
      </c>
      <c r="E216" s="307">
        <f t="shared" ca="1" si="96"/>
        <v>-20.652785760558665</v>
      </c>
      <c r="F216" s="304">
        <f t="shared" ca="1" si="97"/>
        <v>20.790949588252673</v>
      </c>
      <c r="G216" s="306">
        <f t="shared" ca="1" si="98"/>
        <v>34.563923148098553</v>
      </c>
      <c r="H216" s="307">
        <f t="shared" ca="1" si="99"/>
        <v>155.63541676717622</v>
      </c>
      <c r="I216" s="304">
        <f t="shared" ca="1" si="100"/>
        <v>159.42724903754785</v>
      </c>
      <c r="J216" s="306">
        <f t="shared" ca="1" si="101"/>
        <v>89.528451825940522</v>
      </c>
      <c r="K216" s="307">
        <f t="shared" ca="1" si="102"/>
        <v>435.35715684293831</v>
      </c>
      <c r="L216" s="304">
        <f t="shared" ca="1" si="87"/>
        <v>444.46731904687493</v>
      </c>
      <c r="M216" s="306">
        <f t="shared" ca="1" si="103"/>
        <v>1.3522604051431317</v>
      </c>
      <c r="N216" s="304">
        <f t="shared" ca="1" si="104"/>
        <v>77.478814017352249</v>
      </c>
      <c r="P216" s="310">
        <f t="shared" ca="1" si="105"/>
        <v>23</v>
      </c>
      <c r="Q216" s="304">
        <f t="shared" ca="1" si="106"/>
        <v>0</v>
      </c>
      <c r="R216" s="306">
        <f t="shared" ca="1" si="107"/>
        <v>0</v>
      </c>
      <c r="S216" s="307">
        <f t="shared" ca="1" si="108"/>
        <v>8.5499999999999989</v>
      </c>
      <c r="T216" s="304">
        <f t="shared" ca="1" si="88"/>
        <v>83.875499999999988</v>
      </c>
      <c r="U216" s="311">
        <f t="shared" ca="1" si="89"/>
        <v>0</v>
      </c>
      <c r="V216" s="306">
        <f t="shared" ca="1" si="90"/>
        <v>1.1728049232964821</v>
      </c>
      <c r="W216" s="304">
        <f t="shared" ca="1" si="91"/>
        <v>92.375658252583719</v>
      </c>
      <c r="Y216" s="314" t="str">
        <f t="shared" ca="1" si="109"/>
        <v/>
      </c>
      <c r="Z216" s="315" t="str">
        <f t="shared" ca="1" si="110"/>
        <v/>
      </c>
      <c r="AA216" s="316" t="str">
        <f t="shared" ca="1" si="111"/>
        <v/>
      </c>
      <c r="AC216" s="310" t="e">
        <f t="shared" ca="1" si="112"/>
        <v>#N/A</v>
      </c>
      <c r="AD216" s="323" t="e">
        <f t="shared" ca="1" si="113"/>
        <v>#N/A</v>
      </c>
      <c r="AE216" s="324">
        <f t="shared" ca="1" si="92"/>
        <v>435.35715684293831</v>
      </c>
      <c r="AG216" s="306">
        <f t="shared" ca="1" si="114"/>
        <v>-20.683184288591733</v>
      </c>
      <c r="AH216" s="304">
        <f t="shared" ca="1" si="115"/>
        <v>-11.103694347337868</v>
      </c>
    </row>
    <row r="217" spans="1:34" x14ac:dyDescent="0.3">
      <c r="A217" s="347">
        <f t="shared" ca="1" si="93"/>
        <v>0.1</v>
      </c>
      <c r="B217" s="304">
        <f t="shared" ca="1" si="94"/>
        <v>3.3000000000000025</v>
      </c>
      <c r="D217" s="306">
        <f t="shared" ca="1" si="95"/>
        <v>-2.3423506522631277</v>
      </c>
      <c r="E217" s="307">
        <f t="shared" ca="1" si="96"/>
        <v>-20.357203175340182</v>
      </c>
      <c r="F217" s="304">
        <f t="shared" ca="1" si="97"/>
        <v>20.491518433250324</v>
      </c>
      <c r="G217" s="306">
        <f t="shared" ca="1" si="98"/>
        <v>34.329688082872238</v>
      </c>
      <c r="H217" s="307">
        <f t="shared" ca="1" si="99"/>
        <v>153.59969644964221</v>
      </c>
      <c r="I217" s="304">
        <f t="shared" ca="1" si="100"/>
        <v>157.38930787473947</v>
      </c>
      <c r="J217" s="306">
        <f t="shared" ca="1" si="101"/>
        <v>92.973132387489059</v>
      </c>
      <c r="K217" s="307">
        <f t="shared" ca="1" si="102"/>
        <v>450.81891250377925</v>
      </c>
      <c r="L217" s="304">
        <f t="shared" ca="1" si="87"/>
        <v>460.30608861607703</v>
      </c>
      <c r="M217" s="306">
        <f t="shared" ca="1" si="103"/>
        <v>1.3509090970041844</v>
      </c>
      <c r="N217" s="304">
        <f t="shared" ca="1" si="104"/>
        <v>77.401389764168883</v>
      </c>
      <c r="P217" s="310">
        <f t="shared" ca="1" si="105"/>
        <v>23</v>
      </c>
      <c r="Q217" s="304">
        <f t="shared" ca="1" si="106"/>
        <v>0</v>
      </c>
      <c r="R217" s="306">
        <f t="shared" ca="1" si="107"/>
        <v>0</v>
      </c>
      <c r="S217" s="307">
        <f t="shared" ca="1" si="108"/>
        <v>8.5499999999999989</v>
      </c>
      <c r="T217" s="304">
        <f t="shared" ca="1" si="88"/>
        <v>83.875499999999988</v>
      </c>
      <c r="U217" s="311">
        <f t="shared" ca="1" si="89"/>
        <v>0</v>
      </c>
      <c r="V217" s="306">
        <f t="shared" ca="1" si="90"/>
        <v>1.1709920729649141</v>
      </c>
      <c r="W217" s="304">
        <f t="shared" ca="1" si="91"/>
        <v>89.889935201008754</v>
      </c>
      <c r="Y217" s="314" t="str">
        <f t="shared" ca="1" si="109"/>
        <v/>
      </c>
      <c r="Z217" s="315" t="str">
        <f t="shared" ca="1" si="110"/>
        <v/>
      </c>
      <c r="AA217" s="316" t="str">
        <f t="shared" ca="1" si="111"/>
        <v/>
      </c>
      <c r="AC217" s="310" t="e">
        <f t="shared" ca="1" si="112"/>
        <v>#N/A</v>
      </c>
      <c r="AD217" s="323" t="e">
        <f t="shared" ca="1" si="113"/>
        <v>#N/A</v>
      </c>
      <c r="AE217" s="324">
        <f t="shared" ca="1" si="92"/>
        <v>450.81891250377925</v>
      </c>
      <c r="AG217" s="306">
        <f t="shared" ca="1" si="114"/>
        <v>-20.380848618755358</v>
      </c>
      <c r="AH217" s="304">
        <f t="shared" ca="1" si="115"/>
        <v>-10.804170555857747</v>
      </c>
    </row>
    <row r="218" spans="1:34" x14ac:dyDescent="0.3">
      <c r="A218" s="347">
        <f t="shared" ca="1" si="93"/>
        <v>0.1</v>
      </c>
      <c r="B218" s="304">
        <f t="shared" ca="1" si="94"/>
        <v>3.4000000000000026</v>
      </c>
      <c r="D218" s="306">
        <f t="shared" ca="1" si="95"/>
        <v>-2.2931875990025357</v>
      </c>
      <c r="E218" s="307">
        <f t="shared" ca="1" si="96"/>
        <v>-20.070300596340385</v>
      </c>
      <c r="F218" s="304">
        <f t="shared" ca="1" si="97"/>
        <v>20.200883034948749</v>
      </c>
      <c r="G218" s="306">
        <f t="shared" ca="1" si="98"/>
        <v>34.100369322971986</v>
      </c>
      <c r="H218" s="307">
        <f t="shared" ca="1" si="99"/>
        <v>151.59266639000816</v>
      </c>
      <c r="I218" s="304">
        <f t="shared" ca="1" si="100"/>
        <v>155.3807314025629</v>
      </c>
      <c r="J218" s="306">
        <f t="shared" ca="1" si="101"/>
        <v>96.394635257781275</v>
      </c>
      <c r="K218" s="307">
        <f t="shared" ca="1" si="102"/>
        <v>466.07853064576176</v>
      </c>
      <c r="L218" s="304">
        <f t="shared" ca="1" si="87"/>
        <v>475.94235200851057</v>
      </c>
      <c r="M218" s="306">
        <f t="shared" ca="1" si="103"/>
        <v>1.349531993399302</v>
      </c>
      <c r="N218" s="304">
        <f t="shared" ca="1" si="104"/>
        <v>77.322487539656876</v>
      </c>
      <c r="P218" s="310">
        <f t="shared" ca="1" si="105"/>
        <v>23</v>
      </c>
      <c r="Q218" s="304">
        <f t="shared" ca="1" si="106"/>
        <v>0</v>
      </c>
      <c r="R218" s="306">
        <f t="shared" ca="1" si="107"/>
        <v>0</v>
      </c>
      <c r="S218" s="307">
        <f t="shared" ca="1" si="108"/>
        <v>8.5499999999999989</v>
      </c>
      <c r="T218" s="304">
        <f t="shared" ca="1" si="88"/>
        <v>83.875499999999988</v>
      </c>
      <c r="U218" s="311">
        <f t="shared" ca="1" si="89"/>
        <v>0</v>
      </c>
      <c r="V218" s="306">
        <f t="shared" ca="1" si="90"/>
        <v>1.169205608398685</v>
      </c>
      <c r="W218" s="304">
        <f t="shared" ca="1" si="91"/>
        <v>87.476595792509983</v>
      </c>
      <c r="Y218" s="314" t="str">
        <f t="shared" ca="1" si="109"/>
        <v/>
      </c>
      <c r="Z218" s="315" t="str">
        <f t="shared" ca="1" si="110"/>
        <v/>
      </c>
      <c r="AA218" s="316" t="str">
        <f t="shared" ca="1" si="111"/>
        <v/>
      </c>
      <c r="AC218" s="310" t="e">
        <f t="shared" ca="1" si="112"/>
        <v>#N/A</v>
      </c>
      <c r="AD218" s="323" t="e">
        <f t="shared" ca="1" si="113"/>
        <v>#N/A</v>
      </c>
      <c r="AE218" s="324">
        <f t="shared" ca="1" si="92"/>
        <v>466.07853064576176</v>
      </c>
      <c r="AG218" s="306">
        <f t="shared" ca="1" si="114"/>
        <v>-20.08723805276761</v>
      </c>
      <c r="AH218" s="304">
        <f t="shared" ca="1" si="115"/>
        <v>-10.513442713568276</v>
      </c>
    </row>
    <row r="219" spans="1:34" x14ac:dyDescent="0.3">
      <c r="A219" s="347">
        <f t="shared" ca="1" si="93"/>
        <v>0.1</v>
      </c>
      <c r="B219" s="304">
        <f t="shared" ca="1" si="94"/>
        <v>3.5000000000000027</v>
      </c>
      <c r="D219" s="306">
        <f t="shared" ca="1" si="95"/>
        <v>-2.2453687825473754</v>
      </c>
      <c r="E219" s="307">
        <f t="shared" ca="1" si="96"/>
        <v>-19.791752325067705</v>
      </c>
      <c r="F219" s="304">
        <f t="shared" ca="1" si="97"/>
        <v>19.918713338628606</v>
      </c>
      <c r="G219" s="306">
        <f t="shared" ca="1" si="98"/>
        <v>33.875832444717247</v>
      </c>
      <c r="H219" s="307">
        <f t="shared" ca="1" si="99"/>
        <v>149.61349115750139</v>
      </c>
      <c r="I219" s="304">
        <f t="shared" ca="1" si="100"/>
        <v>153.40068044229238</v>
      </c>
      <c r="J219" s="306">
        <f t="shared" ca="1" si="101"/>
        <v>99.79344534616574</v>
      </c>
      <c r="K219" s="307">
        <f t="shared" ca="1" si="102"/>
        <v>481.13883852313722</v>
      </c>
      <c r="L219" s="304">
        <f t="shared" ca="1" si="87"/>
        <v>491.37899188859478</v>
      </c>
      <c r="M219" s="306">
        <f t="shared" ca="1" si="103"/>
        <v>1.3481285212943002</v>
      </c>
      <c r="N219" s="304">
        <f t="shared" ca="1" si="104"/>
        <v>77.242074511375932</v>
      </c>
      <c r="P219" s="310">
        <f t="shared" ca="1" si="105"/>
        <v>23</v>
      </c>
      <c r="Q219" s="304">
        <f t="shared" ca="1" si="106"/>
        <v>0</v>
      </c>
      <c r="R219" s="306">
        <f t="shared" ca="1" si="107"/>
        <v>0</v>
      </c>
      <c r="S219" s="307">
        <f t="shared" ca="1" si="108"/>
        <v>8.5499999999999989</v>
      </c>
      <c r="T219" s="304">
        <f t="shared" ca="1" si="88"/>
        <v>83.875499999999988</v>
      </c>
      <c r="U219" s="311">
        <f t="shared" ca="1" si="89"/>
        <v>0</v>
      </c>
      <c r="V219" s="306">
        <f t="shared" ca="1" si="90"/>
        <v>1.1674450874692335</v>
      </c>
      <c r="W219" s="304">
        <f t="shared" ca="1" si="91"/>
        <v>85.132952453438818</v>
      </c>
      <c r="Y219" s="314" t="str">
        <f t="shared" ca="1" si="109"/>
        <v/>
      </c>
      <c r="Z219" s="315" t="str">
        <f t="shared" ca="1" si="110"/>
        <v/>
      </c>
      <c r="AA219" s="316" t="str">
        <f t="shared" ca="1" si="111"/>
        <v>Satellite</v>
      </c>
      <c r="AC219" s="310" t="e">
        <f t="shared" ca="1" si="112"/>
        <v>#N/A</v>
      </c>
      <c r="AD219" s="323" t="e">
        <f t="shared" ca="1" si="113"/>
        <v>#N/A</v>
      </c>
      <c r="AE219" s="324">
        <f t="shared" ca="1" si="92"/>
        <v>481.13883852313722</v>
      </c>
      <c r="AG219" s="306">
        <f t="shared" ca="1" si="114"/>
        <v>-19.802020395097994</v>
      </c>
      <c r="AH219" s="304">
        <f t="shared" ca="1" si="115"/>
        <v>-10.231180794445613</v>
      </c>
    </row>
    <row r="220" spans="1:34" x14ac:dyDescent="0.3">
      <c r="A220" s="347">
        <f t="shared" ca="1" si="93"/>
        <v>0.1</v>
      </c>
      <c r="B220" s="304">
        <f t="shared" ca="1" si="94"/>
        <v>3.6000000000000028</v>
      </c>
      <c r="D220" s="306">
        <f t="shared" ca="1" si="95"/>
        <v>-2.1988432492714676</v>
      </c>
      <c r="E220" s="307">
        <f t="shared" ca="1" si="96"/>
        <v>-19.521248146255083</v>
      </c>
      <c r="F220" s="304">
        <f t="shared" ca="1" si="97"/>
        <v>19.644694979116736</v>
      </c>
      <c r="G220" s="306">
        <f t="shared" ca="1" si="98"/>
        <v>33.655948119790104</v>
      </c>
      <c r="H220" s="307">
        <f t="shared" ca="1" si="99"/>
        <v>147.66136634287588</v>
      </c>
      <c r="I220" s="304">
        <f t="shared" ca="1" si="100"/>
        <v>151.44834747889129</v>
      </c>
      <c r="J220" s="306">
        <f t="shared" ca="1" si="101"/>
        <v>103.17003437439111</v>
      </c>
      <c r="K220" s="307">
        <f t="shared" ca="1" si="102"/>
        <v>496.00258139815611</v>
      </c>
      <c r="L220" s="304">
        <f t="shared" ca="1" si="87"/>
        <v>506.61880812544609</v>
      </c>
      <c r="M220" s="306">
        <f t="shared" ca="1" si="103"/>
        <v>1.3466980889993394</v>
      </c>
      <c r="N220" s="304">
        <f t="shared" ca="1" si="104"/>
        <v>77.160116777995469</v>
      </c>
      <c r="P220" s="310">
        <f t="shared" ca="1" si="105"/>
        <v>23</v>
      </c>
      <c r="Q220" s="304">
        <f t="shared" ca="1" si="106"/>
        <v>0</v>
      </c>
      <c r="R220" s="306">
        <f t="shared" ca="1" si="107"/>
        <v>0</v>
      </c>
      <c r="S220" s="307">
        <f t="shared" ca="1" si="108"/>
        <v>8.5499999999999989</v>
      </c>
      <c r="T220" s="304">
        <f t="shared" ca="1" si="88"/>
        <v>83.875499999999988</v>
      </c>
      <c r="U220" s="311">
        <f t="shared" ca="1" si="89"/>
        <v>0</v>
      </c>
      <c r="V220" s="306">
        <f t="shared" ca="1" si="90"/>
        <v>1.1657100814122467</v>
      </c>
      <c r="W220" s="304">
        <f t="shared" ca="1" si="91"/>
        <v>82.856444164734171</v>
      </c>
      <c r="Y220" s="314" t="str">
        <f t="shared" ca="1" si="109"/>
        <v/>
      </c>
      <c r="Z220" s="315" t="str">
        <f t="shared" ca="1" si="110"/>
        <v/>
      </c>
      <c r="AA220" s="316" t="str">
        <f t="shared" ca="1" si="111"/>
        <v/>
      </c>
      <c r="AC220" s="310" t="e">
        <f t="shared" ca="1" si="112"/>
        <v>#N/A</v>
      </c>
      <c r="AD220" s="323" t="e">
        <f t="shared" ca="1" si="113"/>
        <v>#N/A</v>
      </c>
      <c r="AE220" s="324">
        <f t="shared" ca="1" si="92"/>
        <v>496.00258139815611</v>
      </c>
      <c r="AG220" s="306">
        <f t="shared" ca="1" si="114"/>
        <v>-19.524879053743035</v>
      </c>
      <c r="AH220" s="304">
        <f t="shared" ca="1" si="115"/>
        <v>-9.9570704623905062</v>
      </c>
    </row>
    <row r="221" spans="1:34" x14ac:dyDescent="0.3">
      <c r="A221" s="347">
        <f t="shared" ca="1" si="93"/>
        <v>0.1</v>
      </c>
      <c r="B221" s="304">
        <f t="shared" ca="1" si="94"/>
        <v>3.7000000000000028</v>
      </c>
      <c r="D221" s="306">
        <f t="shared" ca="1" si="95"/>
        <v>-2.1535624356381193</v>
      </c>
      <c r="E221" s="307">
        <f t="shared" ca="1" si="96"/>
        <v>-19.258492451295098</v>
      </c>
      <c r="F221" s="304">
        <f t="shared" ca="1" si="97"/>
        <v>19.378528392547818</v>
      </c>
      <c r="G221" s="306">
        <f t="shared" ca="1" si="98"/>
        <v>33.440591876226293</v>
      </c>
      <c r="H221" s="307">
        <f t="shared" ca="1" si="99"/>
        <v>145.73551709774637</v>
      </c>
      <c r="I221" s="304">
        <f t="shared" ca="1" si="100"/>
        <v>149.52295519009735</v>
      </c>
      <c r="J221" s="306">
        <f t="shared" ca="1" si="101"/>
        <v>106.52486137419193</v>
      </c>
      <c r="K221" s="307">
        <f t="shared" ca="1" si="102"/>
        <v>510.67242557018722</v>
      </c>
      <c r="L221" s="304">
        <f t="shared" ca="1" si="87"/>
        <v>521.66452086425159</v>
      </c>
      <c r="M221" s="306">
        <f t="shared" ca="1" si="103"/>
        <v>1.3452400854541664</v>
      </c>
      <c r="N221" s="304">
        <f t="shared" ca="1" si="104"/>
        <v>77.076579328341936</v>
      </c>
      <c r="P221" s="310">
        <f t="shared" ca="1" si="105"/>
        <v>23</v>
      </c>
      <c r="Q221" s="304">
        <f t="shared" ca="1" si="106"/>
        <v>0</v>
      </c>
      <c r="R221" s="306">
        <f t="shared" ca="1" si="107"/>
        <v>0</v>
      </c>
      <c r="S221" s="307">
        <f t="shared" ca="1" si="108"/>
        <v>8.5499999999999989</v>
      </c>
      <c r="T221" s="304">
        <f t="shared" ca="1" si="88"/>
        <v>83.875499999999988</v>
      </c>
      <c r="U221" s="311">
        <f t="shared" ca="1" si="89"/>
        <v>0</v>
      </c>
      <c r="V221" s="306">
        <f t="shared" ca="1" si="90"/>
        <v>1.1640001743147541</v>
      </c>
      <c r="W221" s="304">
        <f t="shared" ca="1" si="91"/>
        <v>80.644629367233577</v>
      </c>
      <c r="Y221" s="314" t="str">
        <f t="shared" ca="1" si="109"/>
        <v/>
      </c>
      <c r="Z221" s="315" t="str">
        <f t="shared" ca="1" si="110"/>
        <v/>
      </c>
      <c r="AA221" s="316" t="str">
        <f t="shared" ca="1" si="111"/>
        <v/>
      </c>
      <c r="AC221" s="310" t="e">
        <f t="shared" ca="1" si="112"/>
        <v>#N/A</v>
      </c>
      <c r="AD221" s="323" t="e">
        <f t="shared" ca="1" si="113"/>
        <v>#N/A</v>
      </c>
      <c r="AE221" s="324">
        <f t="shared" ca="1" si="92"/>
        <v>510.67242557018722</v>
      </c>
      <c r="AG221" s="306">
        <f t="shared" ca="1" si="114"/>
        <v>-19.255512147963316</v>
      </c>
      <c r="AH221" s="304">
        <f t="shared" ca="1" si="115"/>
        <v>-9.6908121830098466</v>
      </c>
    </row>
    <row r="222" spans="1:34" x14ac:dyDescent="0.3">
      <c r="A222" s="347">
        <f t="shared" ca="1" si="93"/>
        <v>0.1</v>
      </c>
      <c r="B222" s="304">
        <f t="shared" ca="1" si="94"/>
        <v>3.8000000000000029</v>
      </c>
      <c r="D222" s="306">
        <f t="shared" ca="1" si="95"/>
        <v>-2.1094800341288247</v>
      </c>
      <c r="E222" s="307">
        <f t="shared" ca="1" si="96"/>
        <v>-19.003203419335783</v>
      </c>
      <c r="F222" s="304">
        <f t="shared" ca="1" si="97"/>
        <v>19.119927986554849</v>
      </c>
      <c r="G222" s="306">
        <f t="shared" ca="1" si="98"/>
        <v>33.229643872813412</v>
      </c>
      <c r="H222" s="307">
        <f t="shared" ca="1" si="99"/>
        <v>143.8351967558128</v>
      </c>
      <c r="I222" s="304">
        <f t="shared" ca="1" si="100"/>
        <v>147.62375505892467</v>
      </c>
      <c r="J222" s="306">
        <f t="shared" ca="1" si="101"/>
        <v>109.85837316164391</v>
      </c>
      <c r="K222" s="307">
        <f t="shared" ca="1" si="102"/>
        <v>525.15096126286517</v>
      </c>
      <c r="L222" s="304">
        <f t="shared" ca="1" si="87"/>
        <v>536.51877345441915</v>
      </c>
      <c r="M222" s="306">
        <f t="shared" ca="1" si="103"/>
        <v>1.3437538794798523</v>
      </c>
      <c r="N222" s="304">
        <f t="shared" ca="1" si="104"/>
        <v>76.991425998526609</v>
      </c>
      <c r="P222" s="310">
        <f t="shared" ca="1" si="105"/>
        <v>23</v>
      </c>
      <c r="Q222" s="304">
        <f t="shared" ca="1" si="106"/>
        <v>0</v>
      </c>
      <c r="R222" s="306">
        <f t="shared" ca="1" si="107"/>
        <v>0</v>
      </c>
      <c r="S222" s="307">
        <f t="shared" ca="1" si="108"/>
        <v>8.5499999999999989</v>
      </c>
      <c r="T222" s="304">
        <f t="shared" ca="1" si="88"/>
        <v>83.875499999999988</v>
      </c>
      <c r="U222" s="311">
        <f t="shared" ca="1" si="89"/>
        <v>0</v>
      </c>
      <c r="V222" s="306">
        <f t="shared" ca="1" si="90"/>
        <v>1.1623149626269615</v>
      </c>
      <c r="W222" s="304">
        <f t="shared" ca="1" si="91"/>
        <v>78.495179329248629</v>
      </c>
      <c r="Y222" s="314" t="str">
        <f t="shared" ca="1" si="109"/>
        <v/>
      </c>
      <c r="Z222" s="315" t="str">
        <f t="shared" ca="1" si="110"/>
        <v/>
      </c>
      <c r="AA222" s="316" t="str">
        <f t="shared" ca="1" si="111"/>
        <v/>
      </c>
      <c r="AC222" s="310" t="e">
        <f t="shared" ca="1" si="112"/>
        <v>#N/A</v>
      </c>
      <c r="AD222" s="323" t="e">
        <f t="shared" ca="1" si="113"/>
        <v>#N/A</v>
      </c>
      <c r="AE222" s="324">
        <f t="shared" ca="1" si="92"/>
        <v>525.15096126286517</v>
      </c>
      <c r="AG222" s="306">
        <f t="shared" ca="1" si="114"/>
        <v>-18.993631674228705</v>
      </c>
      <c r="AH222" s="304">
        <f t="shared" ca="1" si="115"/>
        <v>-9.4321203938284892</v>
      </c>
    </row>
    <row r="223" spans="1:34" x14ac:dyDescent="0.3">
      <c r="A223" s="347">
        <f t="shared" ca="1" si="93"/>
        <v>0.1</v>
      </c>
      <c r="B223" s="304">
        <f t="shared" ca="1" si="94"/>
        <v>3.900000000000003</v>
      </c>
      <c r="D223" s="306">
        <f t="shared" ca="1" si="95"/>
        <v>-2.0665518679128403</v>
      </c>
      <c r="E223" s="307">
        <f t="shared" ca="1" si="96"/>
        <v>-18.755112251730235</v>
      </c>
      <c r="F223" s="304">
        <f t="shared" ca="1" si="97"/>
        <v>18.86862136452411</v>
      </c>
      <c r="G223" s="306">
        <f t="shared" ca="1" si="98"/>
        <v>33.022988686022131</v>
      </c>
      <c r="H223" s="307">
        <f t="shared" ca="1" si="99"/>
        <v>141.95968553063977</v>
      </c>
      <c r="I223" s="304">
        <f t="shared" ca="1" si="100"/>
        <v>145.75002606420102</v>
      </c>
      <c r="J223" s="306">
        <f t="shared" ca="1" si="101"/>
        <v>113.17100478958569</v>
      </c>
      <c r="K223" s="307">
        <f t="shared" ca="1" si="102"/>
        <v>539.44070537718778</v>
      </c>
      <c r="L223" s="304">
        <f t="shared" ca="1" si="87"/>
        <v>551.18413524240907</v>
      </c>
      <c r="M223" s="306">
        <f t="shared" ca="1" si="103"/>
        <v>1.3422388189952486</v>
      </c>
      <c r="N223" s="304">
        <f t="shared" ca="1" si="104"/>
        <v>76.90461942705177</v>
      </c>
      <c r="P223" s="310">
        <f t="shared" ca="1" si="105"/>
        <v>23</v>
      </c>
      <c r="Q223" s="304">
        <f t="shared" ca="1" si="106"/>
        <v>0</v>
      </c>
      <c r="R223" s="306">
        <f t="shared" ca="1" si="107"/>
        <v>0</v>
      </c>
      <c r="S223" s="307">
        <f t="shared" ca="1" si="108"/>
        <v>8.5499999999999989</v>
      </c>
      <c r="T223" s="304">
        <f t="shared" ca="1" si="88"/>
        <v>83.875499999999988</v>
      </c>
      <c r="U223" s="311">
        <f t="shared" ca="1" si="89"/>
        <v>0</v>
      </c>
      <c r="V223" s="306">
        <f t="shared" ca="1" si="90"/>
        <v>1.1606540546974045</v>
      </c>
      <c r="W223" s="304">
        <f t="shared" ca="1" si="91"/>
        <v>76.405871942204683</v>
      </c>
      <c r="Y223" s="314" t="str">
        <f t="shared" ca="1" si="109"/>
        <v/>
      </c>
      <c r="Z223" s="315" t="str">
        <f t="shared" ca="1" si="110"/>
        <v/>
      </c>
      <c r="AA223" s="316" t="str">
        <f t="shared" ca="1" si="111"/>
        <v/>
      </c>
      <c r="AC223" s="310" t="e">
        <f t="shared" ca="1" si="112"/>
        <v>#N/A</v>
      </c>
      <c r="AD223" s="323" t="e">
        <f t="shared" ca="1" si="113"/>
        <v>#N/A</v>
      </c>
      <c r="AE223" s="324">
        <f t="shared" ca="1" si="92"/>
        <v>539.44070537718778</v>
      </c>
      <c r="AG223" s="306">
        <f t="shared" ca="1" si="114"/>
        <v>-18.738962725993709</v>
      </c>
      <c r="AH223" s="304">
        <f t="shared" ca="1" si="115"/>
        <v>-9.1807227285670923</v>
      </c>
    </row>
    <row r="224" spans="1:34" x14ac:dyDescent="0.3">
      <c r="A224" s="347">
        <f t="shared" ca="1" si="93"/>
        <v>0.1</v>
      </c>
      <c r="B224" s="304">
        <f t="shared" ca="1" si="94"/>
        <v>4.0000000000000027</v>
      </c>
      <c r="D224" s="306">
        <f t="shared" ca="1" si="95"/>
        <v>-2.0247357736113103</v>
      </c>
      <c r="E224" s="307">
        <f t="shared" ca="1" si="96"/>
        <v>-18.513962455892461</v>
      </c>
      <c r="F224" s="304">
        <f t="shared" ca="1" si="97"/>
        <v>18.624348599914494</v>
      </c>
      <c r="G224" s="306">
        <f t="shared" ca="1" si="98"/>
        <v>32.820515108660999</v>
      </c>
      <c r="H224" s="307">
        <f t="shared" ca="1" si="99"/>
        <v>140.10828928505052</v>
      </c>
      <c r="I224" s="304">
        <f t="shared" ca="1" si="100"/>
        <v>143.90107344415901</v>
      </c>
      <c r="J224" s="306">
        <f t="shared" ca="1" si="101"/>
        <v>116.46317997931985</v>
      </c>
      <c r="K224" s="307">
        <f t="shared" ca="1" si="102"/>
        <v>553.54410411797232</v>
      </c>
      <c r="L224" s="304">
        <f t="shared" ca="1" si="87"/>
        <v>565.66310423666846</v>
      </c>
      <c r="M224" s="306">
        <f t="shared" ca="1" si="103"/>
        <v>1.3406942301962703</v>
      </c>
      <c r="N224" s="304">
        <f t="shared" ca="1" si="104"/>
        <v>76.816121007787146</v>
      </c>
      <c r="P224" s="310">
        <f t="shared" ca="1" si="105"/>
        <v>23</v>
      </c>
      <c r="Q224" s="304">
        <f t="shared" ca="1" si="106"/>
        <v>0</v>
      </c>
      <c r="R224" s="306">
        <f t="shared" ca="1" si="107"/>
        <v>0</v>
      </c>
      <c r="S224" s="307">
        <f t="shared" ca="1" si="108"/>
        <v>8.5499999999999989</v>
      </c>
      <c r="T224" s="304">
        <f t="shared" ca="1" si="88"/>
        <v>83.875499999999988</v>
      </c>
      <c r="U224" s="311">
        <f t="shared" ca="1" si="89"/>
        <v>0</v>
      </c>
      <c r="V224" s="306">
        <f t="shared" ca="1" si="90"/>
        <v>1.1590170703301084</v>
      </c>
      <c r="W224" s="304">
        <f t="shared" ca="1" si="91"/>
        <v>74.374585912973785</v>
      </c>
      <c r="Y224" s="314" t="str">
        <f t="shared" ca="1" si="109"/>
        <v/>
      </c>
      <c r="Z224" s="315" t="str">
        <f t="shared" ca="1" si="110"/>
        <v/>
      </c>
      <c r="AA224" s="316" t="str">
        <f t="shared" ca="1" si="111"/>
        <v/>
      </c>
      <c r="AC224" s="310">
        <f t="shared" ca="1" si="112"/>
        <v>4.0000000000000027</v>
      </c>
      <c r="AD224" s="323">
        <f t="shared" ca="1" si="113"/>
        <v>116.46317997931985</v>
      </c>
      <c r="AE224" s="324">
        <f t="shared" ca="1" si="92"/>
        <v>553.54410411797232</v>
      </c>
      <c r="AG224" s="306">
        <f t="shared" ca="1" si="114"/>
        <v>-18.491242763288142</v>
      </c>
      <c r="AH224" s="304">
        <f t="shared" ca="1" si="115"/>
        <v>-8.9363592914859282</v>
      </c>
    </row>
    <row r="225" spans="1:34" x14ac:dyDescent="0.3">
      <c r="A225" s="347">
        <f t="shared" ca="1" si="93"/>
        <v>0.1</v>
      </c>
      <c r="B225" s="304">
        <f t="shared" ca="1" si="94"/>
        <v>4.1000000000000023</v>
      </c>
      <c r="D225" s="306">
        <f t="shared" ca="1" si="95"/>
        <v>-1.983991491563174</v>
      </c>
      <c r="E225" s="307">
        <f t="shared" ca="1" si="96"/>
        <v>-18.279509174938504</v>
      </c>
      <c r="F225" s="304">
        <f t="shared" ca="1" si="97"/>
        <v>18.386861556972033</v>
      </c>
      <c r="G225" s="306">
        <f t="shared" ca="1" si="98"/>
        <v>32.622115959504683</v>
      </c>
      <c r="H225" s="307">
        <f t="shared" ca="1" si="99"/>
        <v>138.28033836755668</v>
      </c>
      <c r="I225" s="304">
        <f t="shared" ca="1" si="100"/>
        <v>142.07622752846916</v>
      </c>
      <c r="J225" s="306">
        <f t="shared" ca="1" si="101"/>
        <v>119.73531153272813</v>
      </c>
      <c r="K225" s="307">
        <f t="shared" ca="1" si="102"/>
        <v>567.46353550060269</v>
      </c>
      <c r="L225" s="304">
        <f t="shared" ca="1" si="87"/>
        <v>579.95810965162241</v>
      </c>
      <c r="M225" s="306">
        <f t="shared" ca="1" si="103"/>
        <v>1.3391194166960028</v>
      </c>
      <c r="N225" s="304">
        <f t="shared" ca="1" si="104"/>
        <v>76.725890840701581</v>
      </c>
      <c r="P225" s="310">
        <f t="shared" ca="1" si="105"/>
        <v>23</v>
      </c>
      <c r="Q225" s="304">
        <f t="shared" ca="1" si="106"/>
        <v>0</v>
      </c>
      <c r="R225" s="306">
        <f t="shared" ca="1" si="107"/>
        <v>0</v>
      </c>
      <c r="S225" s="307">
        <f t="shared" ca="1" si="108"/>
        <v>8.5499999999999989</v>
      </c>
      <c r="T225" s="304">
        <f t="shared" ca="1" si="88"/>
        <v>83.875499999999988</v>
      </c>
      <c r="U225" s="311">
        <f t="shared" ca="1" si="89"/>
        <v>0</v>
      </c>
      <c r="V225" s="306">
        <f t="shared" ca="1" si="90"/>
        <v>1.157403640362519</v>
      </c>
      <c r="W225" s="304">
        <f t="shared" ca="1" si="91"/>
        <v>72.399295324098006</v>
      </c>
      <c r="Y225" s="314" t="str">
        <f t="shared" ca="1" si="109"/>
        <v/>
      </c>
      <c r="Z225" s="315" t="str">
        <f t="shared" ca="1" si="110"/>
        <v/>
      </c>
      <c r="AA225" s="316" t="str">
        <f t="shared" ca="1" si="111"/>
        <v/>
      </c>
      <c r="AC225" s="310" t="e">
        <f t="shared" ca="1" si="112"/>
        <v>#N/A</v>
      </c>
      <c r="AD225" s="323" t="e">
        <f t="shared" ca="1" si="113"/>
        <v>#N/A</v>
      </c>
      <c r="AE225" s="324">
        <f t="shared" ca="1" si="92"/>
        <v>567.46353550060269</v>
      </c>
      <c r="AG225" s="306">
        <f t="shared" ca="1" si="114"/>
        <v>-18.250220928438267</v>
      </c>
      <c r="AH225" s="304">
        <f t="shared" ca="1" si="115"/>
        <v>-8.6987819781255897</v>
      </c>
    </row>
    <row r="226" spans="1:34" x14ac:dyDescent="0.3">
      <c r="A226" s="347">
        <f t="shared" ca="1" si="93"/>
        <v>0.1</v>
      </c>
      <c r="B226" s="304">
        <f t="shared" ca="1" si="94"/>
        <v>4.200000000000002</v>
      </c>
      <c r="D226" s="306">
        <f t="shared" ca="1" si="95"/>
        <v>-1.9442805630485889</v>
      </c>
      <c r="E226" s="307">
        <f t="shared" ca="1" si="96"/>
        <v>-18.051518559788256</v>
      </c>
      <c r="F226" s="304">
        <f t="shared" ca="1" si="97"/>
        <v>18.155923254470657</v>
      </c>
      <c r="G226" s="306">
        <f t="shared" ca="1" si="98"/>
        <v>32.427687903199825</v>
      </c>
      <c r="H226" s="307">
        <f t="shared" ca="1" si="99"/>
        <v>136.47518651157785</v>
      </c>
      <c r="I226" s="304">
        <f t="shared" ca="1" si="100"/>
        <v>140.27484263444137</v>
      </c>
      <c r="J226" s="306">
        <f t="shared" ca="1" si="101"/>
        <v>122.98780172586336</v>
      </c>
      <c r="K226" s="307">
        <f t="shared" ca="1" si="102"/>
        <v>581.20131174455946</v>
      </c>
      <c r="L226" s="304">
        <f t="shared" ca="1" si="87"/>
        <v>594.07151433725289</v>
      </c>
      <c r="M226" s="306">
        <f t="shared" ca="1" si="103"/>
        <v>1.3375136586235079</v>
      </c>
      <c r="N226" s="304">
        <f t="shared" ca="1" si="104"/>
        <v>76.633887680228568</v>
      </c>
      <c r="P226" s="310">
        <f t="shared" ca="1" si="105"/>
        <v>23</v>
      </c>
      <c r="Q226" s="304">
        <f t="shared" ca="1" si="106"/>
        <v>0</v>
      </c>
      <c r="R226" s="306">
        <f t="shared" ca="1" si="107"/>
        <v>0</v>
      </c>
      <c r="S226" s="307">
        <f t="shared" ca="1" si="108"/>
        <v>8.5499999999999989</v>
      </c>
      <c r="T226" s="304">
        <f t="shared" ca="1" si="88"/>
        <v>83.875499999999988</v>
      </c>
      <c r="U226" s="311">
        <f t="shared" ca="1" si="89"/>
        <v>0</v>
      </c>
      <c r="V226" s="306">
        <f t="shared" ca="1" si="90"/>
        <v>1.1558134062630443</v>
      </c>
      <c r="W226" s="304">
        <f t="shared" ca="1" si="91"/>
        <v>70.478064535439159</v>
      </c>
      <c r="Y226" s="314" t="str">
        <f t="shared" ca="1" si="109"/>
        <v/>
      </c>
      <c r="Z226" s="315" t="str">
        <f t="shared" ca="1" si="110"/>
        <v/>
      </c>
      <c r="AA226" s="316" t="str">
        <f t="shared" ca="1" si="111"/>
        <v/>
      </c>
      <c r="AC226" s="310" t="e">
        <f t="shared" ca="1" si="112"/>
        <v>#N/A</v>
      </c>
      <c r="AD226" s="323" t="e">
        <f t="shared" ca="1" si="113"/>
        <v>#N/A</v>
      </c>
      <c r="AE226" s="324">
        <f t="shared" ca="1" si="92"/>
        <v>581.20131174455946</v>
      </c>
      <c r="AG226" s="306">
        <f t="shared" ca="1" si="114"/>
        <v>-18.015657404532654</v>
      </c>
      <c r="AH226" s="304">
        <f t="shared" ca="1" si="115"/>
        <v>-8.467753839075792</v>
      </c>
    </row>
    <row r="227" spans="1:34" x14ac:dyDescent="0.3">
      <c r="A227" s="347">
        <f t="shared" ca="1" si="93"/>
        <v>0.1</v>
      </c>
      <c r="B227" s="304">
        <f t="shared" ca="1" si="94"/>
        <v>4.3000000000000016</v>
      </c>
      <c r="D227" s="306">
        <f t="shared" ca="1" si="95"/>
        <v>-1.9055662339698469</v>
      </c>
      <c r="E227" s="307">
        <f t="shared" ca="1" si="96"/>
        <v>-17.829767180673343</v>
      </c>
      <c r="F227" s="304">
        <f t="shared" ca="1" si="97"/>
        <v>17.931307269383964</v>
      </c>
      <c r="G227" s="306">
        <f t="shared" ca="1" si="98"/>
        <v>32.237131279802838</v>
      </c>
      <c r="H227" s="307">
        <f t="shared" ca="1" si="99"/>
        <v>134.6922097935105</v>
      </c>
      <c r="I227" s="304">
        <f t="shared" ca="1" si="100"/>
        <v>138.49629602343265</v>
      </c>
      <c r="J227" s="306">
        <f t="shared" ca="1" si="101"/>
        <v>126.2210426850135</v>
      </c>
      <c r="K227" s="307">
        <f t="shared" ca="1" si="102"/>
        <v>594.75968155981388</v>
      </c>
      <c r="L227" s="304">
        <f t="shared" ca="1" si="87"/>
        <v>608.00561710038767</v>
      </c>
      <c r="M227" s="306">
        <f t="shared" ca="1" si="103"/>
        <v>1.335876211679069</v>
      </c>
      <c r="N227" s="304">
        <f t="shared" ca="1" si="104"/>
        <v>76.540068881135625</v>
      </c>
      <c r="P227" s="310">
        <f t="shared" ca="1" si="105"/>
        <v>23</v>
      </c>
      <c r="Q227" s="304">
        <f t="shared" ca="1" si="106"/>
        <v>0</v>
      </c>
      <c r="R227" s="306">
        <f t="shared" ca="1" si="107"/>
        <v>0</v>
      </c>
      <c r="S227" s="307">
        <f t="shared" ca="1" si="108"/>
        <v>8.5499999999999989</v>
      </c>
      <c r="T227" s="304">
        <f t="shared" ca="1" si="88"/>
        <v>83.875499999999988</v>
      </c>
      <c r="U227" s="311">
        <f t="shared" ca="1" si="89"/>
        <v>0</v>
      </c>
      <c r="V227" s="306">
        <f t="shared" ca="1" si="90"/>
        <v>1.1542460197471369</v>
      </c>
      <c r="W227" s="304">
        <f t="shared" ca="1" si="91"/>
        <v>68.609043402919042</v>
      </c>
      <c r="Y227" s="314" t="str">
        <f t="shared" ca="1" si="109"/>
        <v/>
      </c>
      <c r="Z227" s="315" t="str">
        <f t="shared" ca="1" si="110"/>
        <v/>
      </c>
      <c r="AA227" s="316" t="str">
        <f t="shared" ca="1" si="111"/>
        <v/>
      </c>
      <c r="AC227" s="310" t="e">
        <f t="shared" ca="1" si="112"/>
        <v>#N/A</v>
      </c>
      <c r="AD227" s="323" t="e">
        <f t="shared" ca="1" si="113"/>
        <v>#N/A</v>
      </c>
      <c r="AE227" s="324">
        <f t="shared" ca="1" si="92"/>
        <v>594.75968155981388</v>
      </c>
      <c r="AG227" s="306">
        <f t="shared" ca="1" si="114"/>
        <v>-17.787322813519481</v>
      </c>
      <c r="AH227" s="304">
        <f t="shared" ca="1" si="115"/>
        <v>-8.2430484836770965</v>
      </c>
    </row>
    <row r="228" spans="1:34" x14ac:dyDescent="0.3">
      <c r="A228" s="347">
        <f t="shared" ca="1" si="93"/>
        <v>0.1</v>
      </c>
      <c r="B228" s="304">
        <f t="shared" ca="1" si="94"/>
        <v>4.4000000000000012</v>
      </c>
      <c r="D228" s="306">
        <f t="shared" ca="1" si="95"/>
        <v>-1.8678133645300576</v>
      </c>
      <c r="E228" s="307">
        <f t="shared" ca="1" si="96"/>
        <v>-17.614041475242082</v>
      </c>
      <c r="F228" s="304">
        <f t="shared" ca="1" si="97"/>
        <v>17.712797177641519</v>
      </c>
      <c r="G228" s="306">
        <f t="shared" ca="1" si="98"/>
        <v>32.050349943349829</v>
      </c>
      <c r="H228" s="307">
        <f t="shared" ca="1" si="99"/>
        <v>132.93080564598628</v>
      </c>
      <c r="I228" s="304">
        <f t="shared" ca="1" si="100"/>
        <v>136.73998691378526</v>
      </c>
      <c r="J228" s="306">
        <f t="shared" ca="1" si="101"/>
        <v>129.43541674617114</v>
      </c>
      <c r="K228" s="307">
        <f t="shared" ca="1" si="102"/>
        <v>608.14083233178872</v>
      </c>
      <c r="L228" s="304">
        <f t="shared" ca="1" si="87"/>
        <v>621.76265492344885</v>
      </c>
      <c r="M228" s="306">
        <f t="shared" ca="1" si="103"/>
        <v>1.3342063061434801</v>
      </c>
      <c r="N228" s="304">
        <f t="shared" ca="1" si="104"/>
        <v>76.444390341760851</v>
      </c>
      <c r="P228" s="310">
        <f t="shared" ca="1" si="105"/>
        <v>23</v>
      </c>
      <c r="Q228" s="304">
        <f t="shared" ca="1" si="106"/>
        <v>0</v>
      </c>
      <c r="R228" s="306">
        <f t="shared" ca="1" si="107"/>
        <v>0</v>
      </c>
      <c r="S228" s="307">
        <f t="shared" ca="1" si="108"/>
        <v>8.5499999999999989</v>
      </c>
      <c r="T228" s="304">
        <f t="shared" ca="1" si="88"/>
        <v>83.875499999999988</v>
      </c>
      <c r="U228" s="311">
        <f t="shared" ca="1" si="89"/>
        <v>0</v>
      </c>
      <c r="V228" s="306">
        <f t="shared" ca="1" si="90"/>
        <v>1.1527011424108997</v>
      </c>
      <c r="W228" s="304">
        <f t="shared" ca="1" si="91"/>
        <v>66.790462791952805</v>
      </c>
      <c r="Y228" s="314" t="str">
        <f t="shared" ca="1" si="109"/>
        <v/>
      </c>
      <c r="Z228" s="315" t="str">
        <f t="shared" ca="1" si="110"/>
        <v/>
      </c>
      <c r="AA228" s="316" t="str">
        <f t="shared" ca="1" si="111"/>
        <v/>
      </c>
      <c r="AC228" s="310" t="e">
        <f t="shared" ca="1" si="112"/>
        <v>#N/A</v>
      </c>
      <c r="AD228" s="323" t="e">
        <f t="shared" ca="1" si="113"/>
        <v>#N/A</v>
      </c>
      <c r="AE228" s="324">
        <f t="shared" ca="1" si="92"/>
        <v>608.14083233178872</v>
      </c>
      <c r="AG228" s="306">
        <f t="shared" ca="1" si="114"/>
        <v>-17.564997651069547</v>
      </c>
      <c r="AH228" s="304">
        <f t="shared" ca="1" si="115"/>
        <v>-8.0244495208092452</v>
      </c>
    </row>
    <row r="229" spans="1:34" x14ac:dyDescent="0.3">
      <c r="A229" s="347">
        <f t="shared" ca="1" si="93"/>
        <v>0.1</v>
      </c>
      <c r="B229" s="304">
        <f t="shared" ca="1" si="94"/>
        <v>4.5000000000000009</v>
      </c>
      <c r="D229" s="306">
        <f t="shared" ca="1" si="95"/>
        <v>-1.8309883444864559</v>
      </c>
      <c r="E229" s="307">
        <f t="shared" ca="1" si="96"/>
        <v>-17.404137230676245</v>
      </c>
      <c r="F229" s="304">
        <f t="shared" ca="1" si="97"/>
        <v>17.50018602934998</v>
      </c>
      <c r="G229" s="306">
        <f t="shared" ca="1" si="98"/>
        <v>31.867251108901183</v>
      </c>
      <c r="H229" s="307">
        <f t="shared" ca="1" si="99"/>
        <v>131.19039192291865</v>
      </c>
      <c r="I229" s="304">
        <f t="shared" ca="1" si="100"/>
        <v>135.00533554688408</v>
      </c>
      <c r="J229" s="306">
        <f t="shared" ca="1" si="101"/>
        <v>132.63129679878369</v>
      </c>
      <c r="K229" s="307">
        <f t="shared" ca="1" si="102"/>
        <v>621.34689221023393</v>
      </c>
      <c r="L229" s="304">
        <f t="shared" ca="1" si="87"/>
        <v>635.34480508605964</v>
      </c>
      <c r="M229" s="306">
        <f t="shared" ca="1" si="103"/>
        <v>1.3325031458388312</v>
      </c>
      <c r="N229" s="304">
        <f t="shared" ca="1" si="104"/>
        <v>76.346806444470246</v>
      </c>
      <c r="P229" s="310">
        <f t="shared" ca="1" si="105"/>
        <v>23</v>
      </c>
      <c r="Q229" s="304">
        <f t="shared" ca="1" si="106"/>
        <v>0</v>
      </c>
      <c r="R229" s="306">
        <f t="shared" ca="1" si="107"/>
        <v>0</v>
      </c>
      <c r="S229" s="307">
        <f t="shared" ca="1" si="108"/>
        <v>8.5499999999999989</v>
      </c>
      <c r="T229" s="304">
        <f t="shared" ca="1" si="88"/>
        <v>83.875499999999988</v>
      </c>
      <c r="U229" s="311">
        <f t="shared" ca="1" si="89"/>
        <v>0</v>
      </c>
      <c r="V229" s="306">
        <f t="shared" ca="1" si="90"/>
        <v>1.1511784453812703</v>
      </c>
      <c r="W229" s="304">
        <f t="shared" ca="1" si="91"/>
        <v>65.020630364948346</v>
      </c>
      <c r="Y229" s="314" t="str">
        <f t="shared" ca="1" si="109"/>
        <v/>
      </c>
      <c r="Z229" s="315" t="str">
        <f t="shared" ca="1" si="110"/>
        <v/>
      </c>
      <c r="AA229" s="316" t="str">
        <f t="shared" ca="1" si="111"/>
        <v/>
      </c>
      <c r="AC229" s="310" t="e">
        <f t="shared" ca="1" si="112"/>
        <v>#N/A</v>
      </c>
      <c r="AD229" s="323" t="e">
        <f t="shared" ca="1" si="113"/>
        <v>#N/A</v>
      </c>
      <c r="AE229" s="324">
        <f t="shared" ca="1" si="92"/>
        <v>621.34689221023393</v>
      </c>
      <c r="AG229" s="306">
        <f t="shared" ca="1" si="114"/>
        <v>-17.348471755564649</v>
      </c>
      <c r="AH229" s="304">
        <f t="shared" ca="1" si="115"/>
        <v>-7.8117500341465282</v>
      </c>
    </row>
    <row r="230" spans="1:34" x14ac:dyDescent="0.3">
      <c r="A230" s="347">
        <f t="shared" ca="1" si="93"/>
        <v>0.1</v>
      </c>
      <c r="B230" s="304">
        <f t="shared" ca="1" si="94"/>
        <v>4.6000000000000005</v>
      </c>
      <c r="D230" s="306">
        <f t="shared" ca="1" si="95"/>
        <v>-1.7950590135887385</v>
      </c>
      <c r="E230" s="307">
        <f t="shared" ca="1" si="96"/>
        <v>-17.199859097438619</v>
      </c>
      <c r="F230" s="304">
        <f t="shared" ca="1" si="97"/>
        <v>17.293275856066376</v>
      </c>
      <c r="G230" s="306">
        <f t="shared" ca="1" si="98"/>
        <v>31.68774520754231</v>
      </c>
      <c r="H230" s="307">
        <f t="shared" ca="1" si="99"/>
        <v>129.4704060131748</v>
      </c>
      <c r="I230" s="304">
        <f t="shared" ca="1" si="100"/>
        <v>133.29178230316543</v>
      </c>
      <c r="J230" s="306">
        <f t="shared" ca="1" si="101"/>
        <v>135.80904661460588</v>
      </c>
      <c r="K230" s="307">
        <f t="shared" ca="1" si="102"/>
        <v>634.3799321070386</v>
      </c>
      <c r="L230" s="304">
        <f t="shared" ca="1" si="87"/>
        <v>648.75418719457923</v>
      </c>
      <c r="M230" s="306">
        <f t="shared" ca="1" si="103"/>
        <v>1.3307659070380842</v>
      </c>
      <c r="N230" s="304">
        <f t="shared" ca="1" si="104"/>
        <v>76.247269993181078</v>
      </c>
      <c r="P230" s="310">
        <f t="shared" ca="1" si="105"/>
        <v>23</v>
      </c>
      <c r="Q230" s="304">
        <f t="shared" ca="1" si="106"/>
        <v>0</v>
      </c>
      <c r="R230" s="306">
        <f t="shared" ca="1" si="107"/>
        <v>0</v>
      </c>
      <c r="S230" s="307">
        <f t="shared" ca="1" si="108"/>
        <v>8.5499999999999989</v>
      </c>
      <c r="T230" s="304">
        <f t="shared" ca="1" si="88"/>
        <v>83.875499999999988</v>
      </c>
      <c r="U230" s="311">
        <f t="shared" ca="1" si="89"/>
        <v>0</v>
      </c>
      <c r="V230" s="306">
        <f t="shared" ca="1" si="90"/>
        <v>1.1496776089818979</v>
      </c>
      <c r="W230" s="304">
        <f t="shared" ca="1" si="91"/>
        <v>63.297926623858181</v>
      </c>
      <c r="Y230" s="314" t="str">
        <f t="shared" ca="1" si="109"/>
        <v/>
      </c>
      <c r="Z230" s="315" t="str">
        <f t="shared" ca="1" si="110"/>
        <v/>
      </c>
      <c r="AA230" s="316" t="str">
        <f t="shared" ca="1" si="111"/>
        <v/>
      </c>
      <c r="AC230" s="310" t="e">
        <f t="shared" ca="1" si="112"/>
        <v>#N/A</v>
      </c>
      <c r="AD230" s="323" t="e">
        <f t="shared" ca="1" si="113"/>
        <v>#N/A</v>
      </c>
      <c r="AE230" s="324">
        <f t="shared" ca="1" si="92"/>
        <v>634.3799321070386</v>
      </c>
      <c r="AG230" s="306">
        <f t="shared" ca="1" si="114"/>
        <v>-17.137543808776364</v>
      </c>
      <c r="AH230" s="304">
        <f t="shared" ca="1" si="115"/>
        <v>-7.6047520894676435</v>
      </c>
    </row>
    <row r="231" spans="1:34" x14ac:dyDescent="0.3">
      <c r="A231" s="347">
        <f t="shared" ca="1" si="93"/>
        <v>0.1</v>
      </c>
      <c r="B231" s="304">
        <f t="shared" ca="1" si="94"/>
        <v>4.7</v>
      </c>
      <c r="D231" s="306">
        <f t="shared" ca="1" si="95"/>
        <v>-1.7599945868433411</v>
      </c>
      <c r="E231" s="307">
        <f t="shared" ca="1" si="96"/>
        <v>-17.001020132456766</v>
      </c>
      <c r="F231" s="304">
        <f t="shared" ca="1" si="97"/>
        <v>17.091877207899611</v>
      </c>
      <c r="G231" s="306">
        <f t="shared" ca="1" si="98"/>
        <v>31.511745748857976</v>
      </c>
      <c r="H231" s="307">
        <f t="shared" ca="1" si="99"/>
        <v>127.77030399992911</v>
      </c>
      <c r="I231" s="304">
        <f t="shared" ca="1" si="100"/>
        <v>131.59878686513403</v>
      </c>
      <c r="J231" s="306">
        <f t="shared" ca="1" si="101"/>
        <v>138.96902116242589</v>
      </c>
      <c r="K231" s="307">
        <f t="shared" ca="1" si="102"/>
        <v>647.24196760769382</v>
      </c>
      <c r="L231" s="304">
        <f t="shared" ca="1" si="87"/>
        <v>661.99286512433184</v>
      </c>
      <c r="M231" s="306">
        <f t="shared" ca="1" si="103"/>
        <v>1.328993737320564</v>
      </c>
      <c r="N231" s="304">
        <f t="shared" ca="1" si="104"/>
        <v>76.145732147786276</v>
      </c>
      <c r="P231" s="310">
        <f t="shared" ca="1" si="105"/>
        <v>23</v>
      </c>
      <c r="Q231" s="304">
        <f t="shared" ca="1" si="106"/>
        <v>0</v>
      </c>
      <c r="R231" s="306">
        <f t="shared" ca="1" si="107"/>
        <v>0</v>
      </c>
      <c r="S231" s="307">
        <f t="shared" ca="1" si="108"/>
        <v>8.5499999999999989</v>
      </c>
      <c r="T231" s="304">
        <f t="shared" ca="1" si="88"/>
        <v>83.875499999999988</v>
      </c>
      <c r="U231" s="311">
        <f t="shared" ca="1" si="89"/>
        <v>0</v>
      </c>
      <c r="V231" s="306">
        <f t="shared" ca="1" si="90"/>
        <v>1.1481983224138783</v>
      </c>
      <c r="W231" s="304">
        <f t="shared" ca="1" si="91"/>
        <v>61.620801190245977</v>
      </c>
      <c r="Y231" s="314" t="str">
        <f t="shared" ca="1" si="109"/>
        <v/>
      </c>
      <c r="Z231" s="315" t="str">
        <f t="shared" ca="1" si="110"/>
        <v/>
      </c>
      <c r="AA231" s="316" t="str">
        <f t="shared" ca="1" si="111"/>
        <v/>
      </c>
      <c r="AC231" s="310" t="e">
        <f t="shared" ca="1" si="112"/>
        <v>#N/A</v>
      </c>
      <c r="AD231" s="323" t="e">
        <f t="shared" ca="1" si="113"/>
        <v>#N/A</v>
      </c>
      <c r="AE231" s="324">
        <f t="shared" ca="1" si="92"/>
        <v>647.24196760769382</v>
      </c>
      <c r="AG231" s="306">
        <f t="shared" ca="1" si="114"/>
        <v>-16.932020865987656</v>
      </c>
      <c r="AH231" s="304">
        <f t="shared" ca="1" si="115"/>
        <v>-7.4032662717962792</v>
      </c>
    </row>
    <row r="232" spans="1:34" x14ac:dyDescent="0.3">
      <c r="A232" s="347">
        <f t="shared" ca="1" si="93"/>
        <v>0.1</v>
      </c>
      <c r="B232" s="304">
        <f t="shared" ca="1" si="94"/>
        <v>4.8</v>
      </c>
      <c r="D232" s="306">
        <f t="shared" ca="1" si="95"/>
        <v>-1.7257655842724566</v>
      </c>
      <c r="E232" s="307">
        <f t="shared" ca="1" si="96"/>
        <v>-16.807441369718411</v>
      </c>
      <c r="F232" s="304">
        <f t="shared" ca="1" si="97"/>
        <v>16.895808718388746</v>
      </c>
      <c r="G232" s="306">
        <f t="shared" ca="1" si="98"/>
        <v>31.339169190430731</v>
      </c>
      <c r="H232" s="307">
        <f t="shared" ca="1" si="99"/>
        <v>126.08955986295727</v>
      </c>
      <c r="I232" s="304">
        <f t="shared" ca="1" si="100"/>
        <v>129.92582742465305</v>
      </c>
      <c r="J232" s="306">
        <f t="shared" ca="1" si="101"/>
        <v>142.11156690939032</v>
      </c>
      <c r="K232" s="307">
        <f t="shared" ca="1" si="102"/>
        <v>659.9349608008381</v>
      </c>
      <c r="L232" s="304">
        <f t="shared" ca="1" si="87"/>
        <v>675.06284887901052</v>
      </c>
      <c r="M232" s="306">
        <f t="shared" ca="1" si="103"/>
        <v>1.3271857543703056</v>
      </c>
      <c r="N232" s="304">
        <f t="shared" ca="1" si="104"/>
        <v>76.042142355304861</v>
      </c>
      <c r="P232" s="310">
        <f t="shared" ca="1" si="105"/>
        <v>23</v>
      </c>
      <c r="Q232" s="304">
        <f t="shared" ca="1" si="106"/>
        <v>0</v>
      </c>
      <c r="R232" s="306">
        <f t="shared" ca="1" si="107"/>
        <v>0</v>
      </c>
      <c r="S232" s="307">
        <f t="shared" ca="1" si="108"/>
        <v>8.5499999999999989</v>
      </c>
      <c r="T232" s="304">
        <f t="shared" ca="1" si="88"/>
        <v>83.875499999999988</v>
      </c>
      <c r="U232" s="311">
        <f t="shared" ca="1" si="89"/>
        <v>0</v>
      </c>
      <c r="V232" s="306">
        <f t="shared" ca="1" si="90"/>
        <v>1.1467402834505642</v>
      </c>
      <c r="W232" s="304">
        <f t="shared" ca="1" si="91"/>
        <v>59.987769306677976</v>
      </c>
      <c r="Y232" s="314" t="str">
        <f t="shared" ca="1" si="109"/>
        <v/>
      </c>
      <c r="Z232" s="315" t="str">
        <f t="shared" ca="1" si="110"/>
        <v/>
      </c>
      <c r="AA232" s="316" t="str">
        <f t="shared" ca="1" si="111"/>
        <v/>
      </c>
      <c r="AC232" s="310" t="e">
        <f t="shared" ca="1" si="112"/>
        <v>#N/A</v>
      </c>
      <c r="AD232" s="323" t="e">
        <f t="shared" ca="1" si="113"/>
        <v>#N/A</v>
      </c>
      <c r="AE232" s="324">
        <f t="shared" ca="1" si="92"/>
        <v>659.9349608008381</v>
      </c>
      <c r="AG232" s="306">
        <f t="shared" ca="1" si="114"/>
        <v>-16.731717913480228</v>
      </c>
      <c r="AH232" s="304">
        <f t="shared" ca="1" si="115"/>
        <v>-7.2071112503211676</v>
      </c>
    </row>
    <row r="233" spans="1:34" x14ac:dyDescent="0.3">
      <c r="A233" s="347">
        <f t="shared" ca="1" si="93"/>
        <v>0.1</v>
      </c>
      <c r="B233" s="304">
        <f t="shared" ca="1" si="94"/>
        <v>4.8999999999999995</v>
      </c>
      <c r="D233" s="306">
        <f t="shared" ca="1" si="95"/>
        <v>-1.6923437648621533</v>
      </c>
      <c r="E233" s="307">
        <f t="shared" ca="1" si="96"/>
        <v>-16.618951416409775</v>
      </c>
      <c r="F233" s="304">
        <f t="shared" ca="1" si="97"/>
        <v>16.704896695264424</v>
      </c>
      <c r="G233" s="306">
        <f t="shared" ca="1" si="98"/>
        <v>31.169934813944515</v>
      </c>
      <c r="H233" s="307">
        <f t="shared" ca="1" si="99"/>
        <v>124.42766472131629</v>
      </c>
      <c r="I233" s="304">
        <f t="shared" ca="1" si="100"/>
        <v>128.27239993196451</v>
      </c>
      <c r="J233" s="306">
        <f t="shared" ca="1" si="101"/>
        <v>145.23702210960909</v>
      </c>
      <c r="K233" s="307">
        <f t="shared" ca="1" si="102"/>
        <v>672.46082203005176</v>
      </c>
      <c r="L233" s="304">
        <f t="shared" ca="1" si="87"/>
        <v>687.96609637147094</v>
      </c>
      <c r="M233" s="306">
        <f t="shared" ca="1" si="103"/>
        <v>1.3253410447140053</v>
      </c>
      <c r="N233" s="304">
        <f t="shared" ca="1" si="104"/>
        <v>75.936448277571827</v>
      </c>
      <c r="P233" s="310">
        <f t="shared" ca="1" si="105"/>
        <v>23</v>
      </c>
      <c r="Q233" s="304">
        <f t="shared" ca="1" si="106"/>
        <v>0</v>
      </c>
      <c r="R233" s="306">
        <f t="shared" ca="1" si="107"/>
        <v>0</v>
      </c>
      <c r="S233" s="307">
        <f t="shared" ca="1" si="108"/>
        <v>8.5499999999999989</v>
      </c>
      <c r="T233" s="304">
        <f t="shared" ca="1" si="88"/>
        <v>83.875499999999988</v>
      </c>
      <c r="U233" s="311">
        <f t="shared" ca="1" si="89"/>
        <v>0</v>
      </c>
      <c r="V233" s="306">
        <f t="shared" ca="1" si="90"/>
        <v>1.1453031981457236</v>
      </c>
      <c r="W233" s="304">
        <f t="shared" ca="1" si="91"/>
        <v>58.397408544485899</v>
      </c>
      <c r="Y233" s="314" t="str">
        <f t="shared" ca="1" si="109"/>
        <v/>
      </c>
      <c r="Z233" s="315" t="str">
        <f t="shared" ca="1" si="110"/>
        <v/>
      </c>
      <c r="AA233" s="316" t="str">
        <f t="shared" ca="1" si="111"/>
        <v/>
      </c>
      <c r="AC233" s="310" t="e">
        <f t="shared" ca="1" si="112"/>
        <v>#N/A</v>
      </c>
      <c r="AD233" s="323" t="e">
        <f t="shared" ca="1" si="113"/>
        <v>#N/A</v>
      </c>
      <c r="AE233" s="324">
        <f t="shared" ca="1" si="92"/>
        <v>672.46082203005176</v>
      </c>
      <c r="AG233" s="306">
        <f t="shared" ca="1" si="114"/>
        <v>-16.536457451466575</v>
      </c>
      <c r="AH233" s="304">
        <f t="shared" ca="1" si="115"/>
        <v>-7.0161133692021034</v>
      </c>
    </row>
    <row r="234" spans="1:34" x14ac:dyDescent="0.3">
      <c r="A234" s="347">
        <f t="shared" ca="1" si="93"/>
        <v>0.1</v>
      </c>
      <c r="B234" s="304">
        <f t="shared" ca="1" si="94"/>
        <v>4.9999999999999991</v>
      </c>
      <c r="D234" s="306">
        <f t="shared" ca="1" si="95"/>
        <v>-1.6597020644173035</v>
      </c>
      <c r="E234" s="307">
        <f t="shared" ca="1" si="96"/>
        <v>-16.43538607287061</v>
      </c>
      <c r="F234" s="304">
        <f t="shared" ca="1" si="97"/>
        <v>16.518974735344209</v>
      </c>
      <c r="G234" s="306">
        <f t="shared" ca="1" si="98"/>
        <v>31.003964607502784</v>
      </c>
      <c r="H234" s="307">
        <f t="shared" ca="1" si="99"/>
        <v>122.78412611402923</v>
      </c>
      <c r="I234" s="304">
        <f t="shared" ca="1" si="100"/>
        <v>126.63801738407436</v>
      </c>
      <c r="J234" s="306">
        <f t="shared" ca="1" si="101"/>
        <v>148.34571708068145</v>
      </c>
      <c r="K234" s="307">
        <f t="shared" ca="1" si="102"/>
        <v>684.821411571819</v>
      </c>
      <c r="L234" s="304">
        <f t="shared" ca="1" si="87"/>
        <v>700.70451512988006</v>
      </c>
      <c r="M234" s="306">
        <f t="shared" ca="1" si="103"/>
        <v>1.3234586623951128</v>
      </c>
      <c r="N234" s="304">
        <f t="shared" ca="1" si="104"/>
        <v>75.82859571526923</v>
      </c>
      <c r="P234" s="310">
        <f t="shared" ca="1" si="105"/>
        <v>23</v>
      </c>
      <c r="Q234" s="304">
        <f t="shared" ca="1" si="106"/>
        <v>0</v>
      </c>
      <c r="R234" s="306">
        <f t="shared" ca="1" si="107"/>
        <v>0</v>
      </c>
      <c r="S234" s="307">
        <f t="shared" ca="1" si="108"/>
        <v>8.5499999999999989</v>
      </c>
      <c r="T234" s="304">
        <f t="shared" ca="1" si="88"/>
        <v>83.875499999999988</v>
      </c>
      <c r="U234" s="311">
        <f t="shared" ca="1" si="89"/>
        <v>0</v>
      </c>
      <c r="V234" s="306">
        <f t="shared" ca="1" si="90"/>
        <v>1.1438867805543478</v>
      </c>
      <c r="W234" s="304">
        <f t="shared" ca="1" si="91"/>
        <v>56.848355704075026</v>
      </c>
      <c r="Y234" s="314" t="str">
        <f t="shared" ca="1" si="109"/>
        <v/>
      </c>
      <c r="Z234" s="315" t="str">
        <f t="shared" ca="1" si="110"/>
        <v/>
      </c>
      <c r="AA234" s="316" t="str">
        <f t="shared" ca="1" si="111"/>
        <v/>
      </c>
      <c r="AC234" s="310">
        <f t="shared" ca="1" si="112"/>
        <v>4.9999999999999991</v>
      </c>
      <c r="AD234" s="323">
        <f t="shared" ca="1" si="113"/>
        <v>148.34571708068145</v>
      </c>
      <c r="AE234" s="324">
        <f t="shared" ca="1" si="92"/>
        <v>684.821411571819</v>
      </c>
      <c r="AG234" s="306">
        <f t="shared" ca="1" si="114"/>
        <v>-16.346069100688105</v>
      </c>
      <c r="AH234" s="304">
        <f t="shared" ca="1" si="115"/>
        <v>-6.8301062625129711</v>
      </c>
    </row>
    <row r="235" spans="1:34" x14ac:dyDescent="0.3">
      <c r="A235" s="347">
        <f t="shared" ca="1" si="93"/>
        <v>0.1</v>
      </c>
      <c r="B235" s="304">
        <f t="shared" ca="1" si="94"/>
        <v>5.0999999999999988</v>
      </c>
      <c r="D235" s="306">
        <f t="shared" ca="1" si="95"/>
        <v>-1.6278145370624064</v>
      </c>
      <c r="E235" s="307">
        <f t="shared" ca="1" si="96"/>
        <v>-16.256587974769953</v>
      </c>
      <c r="F235" s="304">
        <f t="shared" ca="1" si="97"/>
        <v>16.337883361944616</v>
      </c>
      <c r="G235" s="306">
        <f t="shared" ca="1" si="98"/>
        <v>30.841183153796543</v>
      </c>
      <c r="H235" s="307">
        <f t="shared" ca="1" si="99"/>
        <v>121.15846731655223</v>
      </c>
      <c r="I235" s="304">
        <f t="shared" ca="1" si="100"/>
        <v>125.02220915030288</v>
      </c>
      <c r="J235" s="306">
        <f t="shared" ca="1" si="101"/>
        <v>151.43797446874643</v>
      </c>
      <c r="K235" s="307">
        <f t="shared" ca="1" si="102"/>
        <v>697.01854124334807</v>
      </c>
      <c r="L235" s="304">
        <f t="shared" ca="1" si="87"/>
        <v>713.2799639329578</v>
      </c>
      <c r="M235" s="306">
        <f t="shared" ca="1" si="103"/>
        <v>1.3215376275803838</v>
      </c>
      <c r="N235" s="304">
        <f t="shared" ca="1" si="104"/>
        <v>75.718528528087575</v>
      </c>
      <c r="P235" s="310">
        <f t="shared" ca="1" si="105"/>
        <v>23</v>
      </c>
      <c r="Q235" s="304">
        <f t="shared" ca="1" si="106"/>
        <v>0</v>
      </c>
      <c r="R235" s="306">
        <f t="shared" ca="1" si="107"/>
        <v>0</v>
      </c>
      <c r="S235" s="307">
        <f t="shared" ca="1" si="108"/>
        <v>8.5499999999999989</v>
      </c>
      <c r="T235" s="304">
        <f t="shared" ca="1" si="88"/>
        <v>83.875499999999988</v>
      </c>
      <c r="U235" s="311">
        <f t="shared" ca="1" si="89"/>
        <v>0</v>
      </c>
      <c r="V235" s="306">
        <f t="shared" ca="1" si="90"/>
        <v>1.1424907524654702</v>
      </c>
      <c r="W235" s="304">
        <f t="shared" ca="1" si="91"/>
        <v>55.339303894990984</v>
      </c>
      <c r="Y235" s="314" t="str">
        <f t="shared" ca="1" si="109"/>
        <v/>
      </c>
      <c r="Z235" s="315" t="str">
        <f t="shared" ca="1" si="110"/>
        <v/>
      </c>
      <c r="AA235" s="316" t="str">
        <f t="shared" ca="1" si="111"/>
        <v/>
      </c>
      <c r="AC235" s="310" t="e">
        <f t="shared" ca="1" si="112"/>
        <v>#N/A</v>
      </c>
      <c r="AD235" s="323" t="e">
        <f t="shared" ca="1" si="113"/>
        <v>#N/A</v>
      </c>
      <c r="AE235" s="324">
        <f t="shared" ca="1" si="92"/>
        <v>697.01854124334807</v>
      </c>
      <c r="AG235" s="306">
        <f t="shared" ca="1" si="114"/>
        <v>-16.160389231030326</v>
      </c>
      <c r="AH235" s="304">
        <f t="shared" ca="1" si="115"/>
        <v>-6.6489304917046823</v>
      </c>
    </row>
    <row r="236" spans="1:34" x14ac:dyDescent="0.3">
      <c r="A236" s="347">
        <f t="shared" ca="1" si="93"/>
        <v>0.1</v>
      </c>
      <c r="B236" s="304">
        <f t="shared" ca="1" si="94"/>
        <v>5.1999999999999984</v>
      </c>
      <c r="D236" s="306">
        <f t="shared" ca="1" si="95"/>
        <v>-1.5966563001470346</v>
      </c>
      <c r="E236" s="307">
        <f t="shared" ca="1" si="96"/>
        <v>-16.082406256026474</v>
      </c>
      <c r="F236" s="304">
        <f t="shared" ca="1" si="97"/>
        <v>16.161469683314035</v>
      </c>
      <c r="G236" s="306">
        <f t="shared" ca="1" si="98"/>
        <v>30.681517523781839</v>
      </c>
      <c r="H236" s="307">
        <f t="shared" ca="1" si="99"/>
        <v>119.55022669094959</v>
      </c>
      <c r="I236" s="304">
        <f t="shared" ca="1" si="100"/>
        <v>123.42452033295315</v>
      </c>
      <c r="J236" s="306">
        <f t="shared" ca="1" si="101"/>
        <v>154.51410950262536</v>
      </c>
      <c r="K236" s="307">
        <f t="shared" ca="1" si="102"/>
        <v>709.05397594372312</v>
      </c>
      <c r="L236" s="304">
        <f t="shared" ca="1" si="87"/>
        <v>725.69425437782763</v>
      </c>
      <c r="M236" s="306">
        <f t="shared" ca="1" si="103"/>
        <v>1.3195769250949685</v>
      </c>
      <c r="N236" s="304">
        <f t="shared" ca="1" si="104"/>
        <v>75.606188550792467</v>
      </c>
      <c r="P236" s="310">
        <f t="shared" ca="1" si="105"/>
        <v>23</v>
      </c>
      <c r="Q236" s="304">
        <f t="shared" ca="1" si="106"/>
        <v>0</v>
      </c>
      <c r="R236" s="306">
        <f t="shared" ca="1" si="107"/>
        <v>0</v>
      </c>
      <c r="S236" s="307">
        <f t="shared" ca="1" si="108"/>
        <v>8.5499999999999989</v>
      </c>
      <c r="T236" s="304">
        <f t="shared" ca="1" si="88"/>
        <v>83.875499999999988</v>
      </c>
      <c r="U236" s="311">
        <f t="shared" ca="1" si="89"/>
        <v>0</v>
      </c>
      <c r="V236" s="306">
        <f t="shared" ca="1" si="90"/>
        <v>1.1411148431463802</v>
      </c>
      <c r="W236" s="304">
        <f t="shared" ca="1" si="91"/>
        <v>53.868999783906112</v>
      </c>
      <c r="Y236" s="314" t="str">
        <f t="shared" ca="1" si="109"/>
        <v/>
      </c>
      <c r="Z236" s="315" t="str">
        <f t="shared" ca="1" si="110"/>
        <v/>
      </c>
      <c r="AA236" s="316" t="str">
        <f t="shared" ca="1" si="111"/>
        <v/>
      </c>
      <c r="AC236" s="310" t="e">
        <f t="shared" ca="1" si="112"/>
        <v>#N/A</v>
      </c>
      <c r="AD236" s="323" t="e">
        <f t="shared" ca="1" si="113"/>
        <v>#N/A</v>
      </c>
      <c r="AE236" s="324">
        <f t="shared" ca="1" si="92"/>
        <v>709.05397594372312</v>
      </c>
      <c r="AG236" s="306">
        <f t="shared" ca="1" si="114"/>
        <v>-15.979260610625332</v>
      </c>
      <c r="AH236" s="304">
        <f t="shared" ca="1" si="115"/>
        <v>-6.4724332040925132</v>
      </c>
    </row>
    <row r="237" spans="1:34" x14ac:dyDescent="0.3">
      <c r="A237" s="347">
        <f t="shared" ca="1" si="93"/>
        <v>0.1</v>
      </c>
      <c r="B237" s="304">
        <f t="shared" ca="1" si="94"/>
        <v>5.299999999999998</v>
      </c>
      <c r="D237" s="306">
        <f t="shared" ca="1" si="95"/>
        <v>-1.5662034823326132</v>
      </c>
      <c r="E237" s="307">
        <f t="shared" ca="1" si="96"/>
        <v>-15.912696231106729</v>
      </c>
      <c r="F237" s="304">
        <f t="shared" ca="1" si="97"/>
        <v>15.98958707070164</v>
      </c>
      <c r="G237" s="306">
        <f t="shared" ca="1" si="98"/>
        <v>30.524897175548578</v>
      </c>
      <c r="H237" s="307">
        <f t="shared" ca="1" si="99"/>
        <v>117.95895706783891</v>
      </c>
      <c r="I237" s="304">
        <f t="shared" ca="1" si="100"/>
        <v>121.84451116119297</v>
      </c>
      <c r="J237" s="306">
        <f t="shared" ca="1" si="101"/>
        <v>157.57443023759188</v>
      </c>
      <c r="K237" s="307">
        <f t="shared" ca="1" si="102"/>
        <v>720.92943513166256</v>
      </c>
      <c r="L237" s="304">
        <f t="shared" ca="1" si="87"/>
        <v>737.94915238379383</v>
      </c>
      <c r="M237" s="306">
        <f t="shared" ca="1" si="103"/>
        <v>1.3175755028818594</v>
      </c>
      <c r="N237" s="304">
        <f t="shared" ca="1" si="104"/>
        <v>75.491515504957576</v>
      </c>
      <c r="P237" s="310">
        <f t="shared" ca="1" si="105"/>
        <v>23</v>
      </c>
      <c r="Q237" s="304">
        <f t="shared" ca="1" si="106"/>
        <v>0</v>
      </c>
      <c r="R237" s="306">
        <f t="shared" ca="1" si="107"/>
        <v>0</v>
      </c>
      <c r="S237" s="307">
        <f t="shared" ca="1" si="108"/>
        <v>8.5499999999999989</v>
      </c>
      <c r="T237" s="304">
        <f t="shared" ca="1" si="88"/>
        <v>83.875499999999988</v>
      </c>
      <c r="U237" s="311">
        <f t="shared" ca="1" si="89"/>
        <v>0</v>
      </c>
      <c r="V237" s="306">
        <f t="shared" ca="1" si="90"/>
        <v>1.1397587890976595</v>
      </c>
      <c r="W237" s="304">
        <f t="shared" ca="1" si="91"/>
        <v>52.436240999560354</v>
      </c>
      <c r="Y237" s="314" t="str">
        <f t="shared" ca="1" si="109"/>
        <v/>
      </c>
      <c r="Z237" s="315" t="str">
        <f t="shared" ca="1" si="110"/>
        <v/>
      </c>
      <c r="AA237" s="316" t="str">
        <f t="shared" ca="1" si="111"/>
        <v/>
      </c>
      <c r="AC237" s="310" t="e">
        <f t="shared" ca="1" si="112"/>
        <v>#N/A</v>
      </c>
      <c r="AD237" s="323" t="e">
        <f t="shared" ca="1" si="113"/>
        <v>#N/A</v>
      </c>
      <c r="AE237" s="324">
        <f t="shared" ca="1" si="92"/>
        <v>720.92943513166256</v>
      </c>
      <c r="AG237" s="306">
        <f t="shared" ca="1" si="114"/>
        <v>-15.802532074019989</v>
      </c>
      <c r="AH237" s="304">
        <f t="shared" ca="1" si="115"/>
        <v>-6.3004678109831715</v>
      </c>
    </row>
    <row r="238" spans="1:34" x14ac:dyDescent="0.3">
      <c r="A238" s="347">
        <f t="shared" ca="1" si="93"/>
        <v>0.1</v>
      </c>
      <c r="B238" s="304">
        <f t="shared" ca="1" si="94"/>
        <v>5.3999999999999977</v>
      </c>
      <c r="D238" s="306">
        <f t="shared" ca="1" si="95"/>
        <v>-1.5364331746537674</v>
      </c>
      <c r="E238" s="307">
        <f t="shared" ca="1" si="96"/>
        <v>-15.747319095435415</v>
      </c>
      <c r="F238" s="304">
        <f t="shared" ca="1" si="97"/>
        <v>15.82209485477955</v>
      </c>
      <c r="G238" s="306">
        <f t="shared" ca="1" si="98"/>
        <v>30.3712538580832</v>
      </c>
      <c r="H238" s="307">
        <f t="shared" ca="1" si="99"/>
        <v>116.38422515829537</v>
      </c>
      <c r="I238" s="304">
        <f t="shared" ca="1" si="100"/>
        <v>120.28175641637814</v>
      </c>
      <c r="J238" s="306">
        <f t="shared" ca="1" si="101"/>
        <v>160.61923778927348</v>
      </c>
      <c r="K238" s="307">
        <f t="shared" ca="1" si="102"/>
        <v>732.64659424296929</v>
      </c>
      <c r="L238" s="304">
        <f t="shared" ca="1" si="87"/>
        <v>750.04637963517246</v>
      </c>
      <c r="M238" s="306">
        <f t="shared" ca="1" si="103"/>
        <v>1.3155322703812486</v>
      </c>
      <c r="N238" s="304">
        <f t="shared" ca="1" si="104"/>
        <v>75.374446906108616</v>
      </c>
      <c r="P238" s="310">
        <f t="shared" ca="1" si="105"/>
        <v>23</v>
      </c>
      <c r="Q238" s="304">
        <f t="shared" ca="1" si="106"/>
        <v>0</v>
      </c>
      <c r="R238" s="306">
        <f t="shared" ca="1" si="107"/>
        <v>0</v>
      </c>
      <c r="S238" s="307">
        <f t="shared" ca="1" si="108"/>
        <v>8.5499999999999989</v>
      </c>
      <c r="T238" s="304">
        <f t="shared" ca="1" si="88"/>
        <v>83.875499999999988</v>
      </c>
      <c r="U238" s="311">
        <f t="shared" ca="1" si="89"/>
        <v>0</v>
      </c>
      <c r="V238" s="306">
        <f t="shared" ca="1" si="90"/>
        <v>1.1384223338185053</v>
      </c>
      <c r="W238" s="304">
        <f t="shared" ca="1" si="91"/>
        <v>51.039873684492726</v>
      </c>
      <c r="Y238" s="314" t="str">
        <f t="shared" ca="1" si="109"/>
        <v/>
      </c>
      <c r="Z238" s="315" t="str">
        <f t="shared" ca="1" si="110"/>
        <v/>
      </c>
      <c r="AA238" s="316" t="str">
        <f t="shared" ca="1" si="111"/>
        <v/>
      </c>
      <c r="AC238" s="310" t="e">
        <f t="shared" ca="1" si="112"/>
        <v>#N/A</v>
      </c>
      <c r="AD238" s="323" t="e">
        <f t="shared" ca="1" si="113"/>
        <v>#N/A</v>
      </c>
      <c r="AE238" s="324">
        <f t="shared" ca="1" si="92"/>
        <v>732.64659424296929</v>
      </c>
      <c r="AG238" s="306">
        <f t="shared" ca="1" si="114"/>
        <v>-15.630058208087668</v>
      </c>
      <c r="AH238" s="304">
        <f t="shared" ca="1" si="115"/>
        <v>-6.1328936841591064</v>
      </c>
    </row>
    <row r="239" spans="1:34" x14ac:dyDescent="0.3">
      <c r="A239" s="347">
        <f t="shared" ca="1" si="93"/>
        <v>0.1</v>
      </c>
      <c r="B239" s="304">
        <f t="shared" ca="1" si="94"/>
        <v>5.4999999999999973</v>
      </c>
      <c r="D239" s="306">
        <f t="shared" ca="1" si="95"/>
        <v>-1.5073233843626863</v>
      </c>
      <c r="E239" s="307">
        <f t="shared" ca="1" si="96"/>
        <v>-15.586141642744225</v>
      </c>
      <c r="F239" s="304">
        <f t="shared" ca="1" si="97"/>
        <v>15.658858039229177</v>
      </c>
      <c r="G239" s="306">
        <f t="shared" ca="1" si="98"/>
        <v>30.220521519646933</v>
      </c>
      <c r="H239" s="307">
        <f t="shared" ca="1" si="99"/>
        <v>114.82561099402095</v>
      </c>
      <c r="I239" s="304">
        <f t="shared" ca="1" si="100"/>
        <v>118.73584488716821</v>
      </c>
      <c r="J239" s="306">
        <f t="shared" ca="1" si="101"/>
        <v>163.64882655815998</v>
      </c>
      <c r="K239" s="307">
        <f t="shared" ca="1" si="102"/>
        <v>744.20708605058508</v>
      </c>
      <c r="L239" s="304">
        <f t="shared" ca="1" si="87"/>
        <v>761.98761496612644</v>
      </c>
      <c r="M239" s="306">
        <f t="shared" ca="1" si="103"/>
        <v>1.3134460968250523</v>
      </c>
      <c r="N239" s="304">
        <f t="shared" ca="1" si="104"/>
        <v>75.254917966006772</v>
      </c>
      <c r="P239" s="310">
        <f t="shared" ca="1" si="105"/>
        <v>23</v>
      </c>
      <c r="Q239" s="304">
        <f t="shared" ca="1" si="106"/>
        <v>0</v>
      </c>
      <c r="R239" s="306">
        <f t="shared" ca="1" si="107"/>
        <v>0</v>
      </c>
      <c r="S239" s="307">
        <f t="shared" ca="1" si="108"/>
        <v>8.5499999999999989</v>
      </c>
      <c r="T239" s="304">
        <f t="shared" ca="1" si="88"/>
        <v>83.875499999999988</v>
      </c>
      <c r="U239" s="311">
        <f t="shared" ca="1" si="89"/>
        <v>0</v>
      </c>
      <c r="V239" s="306">
        <f t="shared" ca="1" si="90"/>
        <v>1.1371052275818241</v>
      </c>
      <c r="W239" s="304">
        <f t="shared" ca="1" si="91"/>
        <v>49.678790184135593</v>
      </c>
      <c r="Y239" s="314" t="str">
        <f t="shared" ca="1" si="109"/>
        <v/>
      </c>
      <c r="Z239" s="315" t="str">
        <f t="shared" ca="1" si="110"/>
        <v/>
      </c>
      <c r="AA239" s="316" t="str">
        <f t="shared" ca="1" si="111"/>
        <v/>
      </c>
      <c r="AC239" s="310" t="e">
        <f t="shared" ca="1" si="112"/>
        <v>#N/A</v>
      </c>
      <c r="AD239" s="323" t="e">
        <f t="shared" ca="1" si="113"/>
        <v>#N/A</v>
      </c>
      <c r="AE239" s="324">
        <f t="shared" ca="1" si="92"/>
        <v>744.20708605058508</v>
      </c>
      <c r="AG239" s="306">
        <f t="shared" ca="1" si="114"/>
        <v>-15.461699054451934</v>
      </c>
      <c r="AH239" s="304">
        <f t="shared" ca="1" si="115"/>
        <v>-5.9695758695313135</v>
      </c>
    </row>
    <row r="240" spans="1:34" x14ac:dyDescent="0.3">
      <c r="A240" s="347">
        <f t="shared" ca="1" si="93"/>
        <v>0.1</v>
      </c>
      <c r="B240" s="304">
        <f t="shared" ca="1" si="94"/>
        <v>5.599999999999997</v>
      </c>
      <c r="D240" s="306">
        <f t="shared" ca="1" si="95"/>
        <v>-1.4788529913788675</v>
      </c>
      <c r="E240" s="307">
        <f t="shared" ca="1" si="96"/>
        <v>-15.42903599827082</v>
      </c>
      <c r="F240" s="304">
        <f t="shared" ca="1" si="97"/>
        <v>15.499747030388821</v>
      </c>
      <c r="G240" s="306">
        <f t="shared" ca="1" si="98"/>
        <v>30.072636220509047</v>
      </c>
      <c r="H240" s="307">
        <f t="shared" ca="1" si="99"/>
        <v>113.28270739419386</v>
      </c>
      <c r="I240" s="304">
        <f t="shared" ca="1" si="100"/>
        <v>117.2063788529004</v>
      </c>
      <c r="J240" s="306">
        <f t="shared" ca="1" si="101"/>
        <v>166.66348444516777</v>
      </c>
      <c r="K240" s="307">
        <f t="shared" ca="1" si="102"/>
        <v>755.61250196999583</v>
      </c>
      <c r="L240" s="304">
        <f t="shared" ca="1" si="87"/>
        <v>773.77449569028943</v>
      </c>
      <c r="M240" s="306">
        <f t="shared" ca="1" si="103"/>
        <v>1.311315809441544</v>
      </c>
      <c r="N240" s="304">
        <f t="shared" ca="1" si="104"/>
        <v>75.132861489781774</v>
      </c>
      <c r="P240" s="310">
        <f t="shared" ca="1" si="105"/>
        <v>23</v>
      </c>
      <c r="Q240" s="304">
        <f t="shared" ca="1" si="106"/>
        <v>0</v>
      </c>
      <c r="R240" s="306">
        <f t="shared" ca="1" si="107"/>
        <v>0</v>
      </c>
      <c r="S240" s="307">
        <f t="shared" ca="1" si="108"/>
        <v>8.5499999999999989</v>
      </c>
      <c r="T240" s="304">
        <f t="shared" ca="1" si="88"/>
        <v>83.875499999999988</v>
      </c>
      <c r="U240" s="311">
        <f t="shared" ca="1" si="89"/>
        <v>0</v>
      </c>
      <c r="V240" s="306">
        <f t="shared" ca="1" si="90"/>
        <v>1.1358072272186241</v>
      </c>
      <c r="W240" s="304">
        <f t="shared" ca="1" si="91"/>
        <v>48.351926864522319</v>
      </c>
      <c r="Y240" s="314" t="str">
        <f t="shared" ca="1" si="109"/>
        <v/>
      </c>
      <c r="Z240" s="315" t="str">
        <f t="shared" ca="1" si="110"/>
        <v/>
      </c>
      <c r="AA240" s="316" t="str">
        <f t="shared" ca="1" si="111"/>
        <v/>
      </c>
      <c r="AC240" s="310" t="e">
        <f t="shared" ca="1" si="112"/>
        <v>#N/A</v>
      </c>
      <c r="AD240" s="323" t="e">
        <f t="shared" ca="1" si="113"/>
        <v>#N/A</v>
      </c>
      <c r="AE240" s="324">
        <f t="shared" ca="1" si="92"/>
        <v>755.61250196999583</v>
      </c>
      <c r="AG240" s="306">
        <f t="shared" ca="1" si="114"/>
        <v>-15.297319827273508</v>
      </c>
      <c r="AH240" s="304">
        <f t="shared" ca="1" si="115"/>
        <v>-5.8103848168579653</v>
      </c>
    </row>
    <row r="241" spans="1:34" x14ac:dyDescent="0.3">
      <c r="A241" s="347">
        <f t="shared" ca="1" si="93"/>
        <v>0.1</v>
      </c>
      <c r="B241" s="304">
        <f t="shared" ca="1" si="94"/>
        <v>5.6999999999999966</v>
      </c>
      <c r="D241" s="306">
        <f t="shared" ca="1" si="95"/>
        <v>-1.4510017071795158</v>
      </c>
      <c r="E241" s="307">
        <f t="shared" ca="1" si="96"/>
        <v>-15.275879366797675</v>
      </c>
      <c r="F241" s="304">
        <f t="shared" ca="1" si="97"/>
        <v>15.344637381938773</v>
      </c>
      <c r="G241" s="306">
        <f t="shared" ca="1" si="98"/>
        <v>29.927536049791094</v>
      </c>
      <c r="H241" s="307">
        <f t="shared" ca="1" si="99"/>
        <v>111.7551194575141</v>
      </c>
      <c r="I241" s="304">
        <f t="shared" ca="1" si="100"/>
        <v>115.69297359379605</v>
      </c>
      <c r="J241" s="306">
        <f t="shared" ca="1" si="101"/>
        <v>169.66349305868277</v>
      </c>
      <c r="K241" s="307">
        <f t="shared" ca="1" si="102"/>
        <v>766.86439331258123</v>
      </c>
      <c r="L241" s="304">
        <f t="shared" ca="1" si="87"/>
        <v>785.40861887780875</v>
      </c>
      <c r="M241" s="306">
        <f t="shared" ca="1" si="103"/>
        <v>1.3091401915647103</v>
      </c>
      <c r="N241" s="304">
        <f t="shared" ca="1" si="104"/>
        <v>75.008207767605995</v>
      </c>
      <c r="P241" s="310">
        <f t="shared" ca="1" si="105"/>
        <v>23</v>
      </c>
      <c r="Q241" s="304">
        <f t="shared" ca="1" si="106"/>
        <v>0</v>
      </c>
      <c r="R241" s="306">
        <f t="shared" ca="1" si="107"/>
        <v>0</v>
      </c>
      <c r="S241" s="307">
        <f t="shared" ca="1" si="108"/>
        <v>8.5499999999999989</v>
      </c>
      <c r="T241" s="304">
        <f t="shared" ca="1" si="88"/>
        <v>83.875499999999988</v>
      </c>
      <c r="U241" s="311">
        <f t="shared" ca="1" si="89"/>
        <v>0</v>
      </c>
      <c r="V241" s="306">
        <f t="shared" ca="1" si="90"/>
        <v>1.1345280959112514</v>
      </c>
      <c r="W241" s="304">
        <f t="shared" ca="1" si="91"/>
        <v>47.058262050482959</v>
      </c>
      <c r="Y241" s="314" t="str">
        <f t="shared" ca="1" si="109"/>
        <v/>
      </c>
      <c r="Z241" s="315" t="str">
        <f t="shared" ca="1" si="110"/>
        <v/>
      </c>
      <c r="AA241" s="316" t="str">
        <f t="shared" ca="1" si="111"/>
        <v/>
      </c>
      <c r="AC241" s="310" t="e">
        <f t="shared" ca="1" si="112"/>
        <v>#N/A</v>
      </c>
      <c r="AD241" s="323" t="e">
        <f t="shared" ca="1" si="113"/>
        <v>#N/A</v>
      </c>
      <c r="AE241" s="324">
        <f t="shared" ca="1" si="92"/>
        <v>766.86439331258123</v>
      </c>
      <c r="AG241" s="306">
        <f t="shared" ca="1" si="114"/>
        <v>-15.136790645327483</v>
      </c>
      <c r="AH241" s="304">
        <f t="shared" ca="1" si="115"/>
        <v>-5.6551961245055349</v>
      </c>
    </row>
    <row r="242" spans="1:34" x14ac:dyDescent="0.3">
      <c r="A242" s="347">
        <f t="shared" ca="1" si="93"/>
        <v>0.1</v>
      </c>
      <c r="B242" s="304">
        <f t="shared" ca="1" si="94"/>
        <v>5.7999999999999963</v>
      </c>
      <c r="D242" s="306">
        <f t="shared" ca="1" si="95"/>
        <v>-1.4237500359776769</v>
      </c>
      <c r="E242" s="307">
        <f t="shared" ca="1" si="96"/>
        <v>-15.126553794592656</v>
      </c>
      <c r="F242" s="304">
        <f t="shared" ca="1" si="97"/>
        <v>15.193409553673327</v>
      </c>
      <c r="G242" s="306">
        <f t="shared" ca="1" si="98"/>
        <v>29.785161046193327</v>
      </c>
      <c r="H242" s="307">
        <f t="shared" ca="1" si="99"/>
        <v>110.24246407805484</v>
      </c>
      <c r="I242" s="304">
        <f t="shared" ca="1" si="100"/>
        <v>114.19525692667311</v>
      </c>
      <c r="J242" s="306">
        <f t="shared" ca="1" si="101"/>
        <v>172.649127913482</v>
      </c>
      <c r="K242" s="307">
        <f t="shared" ca="1" si="102"/>
        <v>777.9642724893597</v>
      </c>
      <c r="L242" s="304">
        <f t="shared" ca="1" si="87"/>
        <v>796.89154258229178</v>
      </c>
      <c r="M242" s="306">
        <f t="shared" ca="1" si="103"/>
        <v>1.3069179806425684</v>
      </c>
      <c r="N242" s="304">
        <f t="shared" ca="1" si="104"/>
        <v>74.880884460579395</v>
      </c>
      <c r="P242" s="310">
        <f t="shared" ca="1" si="105"/>
        <v>23</v>
      </c>
      <c r="Q242" s="304">
        <f t="shared" ca="1" si="106"/>
        <v>0</v>
      </c>
      <c r="R242" s="306">
        <f t="shared" ca="1" si="107"/>
        <v>0</v>
      </c>
      <c r="S242" s="307">
        <f t="shared" ca="1" si="108"/>
        <v>8.5499999999999989</v>
      </c>
      <c r="T242" s="304">
        <f t="shared" ca="1" si="88"/>
        <v>83.875499999999988</v>
      </c>
      <c r="U242" s="311">
        <f t="shared" ca="1" si="89"/>
        <v>0</v>
      </c>
      <c r="V242" s="306">
        <f t="shared" ca="1" si="90"/>
        <v>1.133267602995037</v>
      </c>
      <c r="W242" s="304">
        <f t="shared" ca="1" si="91"/>
        <v>45.796814076776329</v>
      </c>
      <c r="Y242" s="314" t="str">
        <f t="shared" ca="1" si="109"/>
        <v/>
      </c>
      <c r="Z242" s="315" t="str">
        <f t="shared" ca="1" si="110"/>
        <v/>
      </c>
      <c r="AA242" s="316" t="str">
        <f t="shared" ca="1" si="111"/>
        <v/>
      </c>
      <c r="AC242" s="310" t="e">
        <f t="shared" ca="1" si="112"/>
        <v>#N/A</v>
      </c>
      <c r="AD242" s="323" t="e">
        <f t="shared" ca="1" si="113"/>
        <v>#N/A</v>
      </c>
      <c r="AE242" s="324">
        <f t="shared" ca="1" si="92"/>
        <v>777.9642724893597</v>
      </c>
      <c r="AG242" s="306">
        <f t="shared" ca="1" si="114"/>
        <v>-14.979986277366836</v>
      </c>
      <c r="AH242" s="304">
        <f t="shared" ca="1" si="115"/>
        <v>-5.5038902983021014</v>
      </c>
    </row>
    <row r="243" spans="1:34" x14ac:dyDescent="0.3">
      <c r="A243" s="347">
        <f t="shared" ca="1" si="93"/>
        <v>0.1</v>
      </c>
      <c r="B243" s="304">
        <f t="shared" ca="1" si="94"/>
        <v>5.8999999999999959</v>
      </c>
      <c r="D243" s="306">
        <f t="shared" ca="1" si="95"/>
        <v>-1.3970792380461188</v>
      </c>
      <c r="E243" s="307">
        <f t="shared" ca="1" si="96"/>
        <v>-14.980945944379226</v>
      </c>
      <c r="F243" s="304">
        <f t="shared" ca="1" si="97"/>
        <v>15.045948683475958</v>
      </c>
      <c r="G243" s="306">
        <f t="shared" ca="1" si="98"/>
        <v>29.645453122388716</v>
      </c>
      <c r="H243" s="307">
        <f t="shared" ca="1" si="99"/>
        <v>108.74436948361692</v>
      </c>
      <c r="I243" s="304">
        <f t="shared" ca="1" si="100"/>
        <v>112.71286876493359</v>
      </c>
      <c r="J243" s="306">
        <f t="shared" ca="1" si="101"/>
        <v>175.6206586219111</v>
      </c>
      <c r="K243" s="307">
        <f t="shared" ca="1" si="102"/>
        <v>788.91361416744326</v>
      </c>
      <c r="L243" s="304">
        <f t="shared" ca="1" si="87"/>
        <v>808.22478702000433</v>
      </c>
      <c r="M243" s="306">
        <f t="shared" ca="1" si="103"/>
        <v>1.3046478661383185</v>
      </c>
      <c r="N243" s="304">
        <f t="shared" ca="1" si="104"/>
        <v>74.750816480474441</v>
      </c>
      <c r="P243" s="310">
        <f t="shared" ca="1" si="105"/>
        <v>23</v>
      </c>
      <c r="Q243" s="304">
        <f t="shared" ca="1" si="106"/>
        <v>0</v>
      </c>
      <c r="R243" s="306">
        <f t="shared" ca="1" si="107"/>
        <v>0</v>
      </c>
      <c r="S243" s="307">
        <f t="shared" ca="1" si="108"/>
        <v>8.5499999999999989</v>
      </c>
      <c r="T243" s="304">
        <f t="shared" ca="1" si="88"/>
        <v>83.875499999999988</v>
      </c>
      <c r="U243" s="311">
        <f t="shared" ca="1" si="89"/>
        <v>0</v>
      </c>
      <c r="V243" s="306">
        <f t="shared" ca="1" si="90"/>
        <v>1.1320255237679655</v>
      </c>
      <c r="W243" s="304">
        <f t="shared" ca="1" si="91"/>
        <v>44.566639445138371</v>
      </c>
      <c r="Y243" s="314" t="str">
        <f t="shared" ca="1" si="109"/>
        <v/>
      </c>
      <c r="Z243" s="315" t="str">
        <f t="shared" ca="1" si="110"/>
        <v/>
      </c>
      <c r="AA243" s="316" t="str">
        <f t="shared" ca="1" si="111"/>
        <v/>
      </c>
      <c r="AC243" s="310" t="e">
        <f t="shared" ca="1" si="112"/>
        <v>#N/A</v>
      </c>
      <c r="AD243" s="323" t="e">
        <f t="shared" ca="1" si="113"/>
        <v>#N/A</v>
      </c>
      <c r="AE243" s="324">
        <f t="shared" ca="1" si="92"/>
        <v>788.91361416744326</v>
      </c>
      <c r="AG243" s="306">
        <f t="shared" ca="1" si="114"/>
        <v>-14.826785899831261</v>
      </c>
      <c r="AH243" s="304">
        <f t="shared" ca="1" si="115"/>
        <v>-5.356352523599571</v>
      </c>
    </row>
    <row r="244" spans="1:34" x14ac:dyDescent="0.3">
      <c r="A244" s="347">
        <f t="shared" ca="1" si="93"/>
        <v>0.1</v>
      </c>
      <c r="B244" s="304">
        <f t="shared" ca="1" si="94"/>
        <v>5.9999999999999956</v>
      </c>
      <c r="D244" s="306">
        <f t="shared" ca="1" si="95"/>
        <v>-1.3709712950550355</v>
      </c>
      <c r="E244" s="307">
        <f t="shared" ca="1" si="96"/>
        <v>-14.838946882525667</v>
      </c>
      <c r="F244" s="304">
        <f t="shared" ca="1" si="97"/>
        <v>14.902144371676282</v>
      </c>
      <c r="G244" s="306">
        <f t="shared" ca="1" si="98"/>
        <v>29.508355992883214</v>
      </c>
      <c r="H244" s="307">
        <f t="shared" ca="1" si="99"/>
        <v>107.26047479536436</v>
      </c>
      <c r="I244" s="304">
        <f t="shared" ca="1" si="100"/>
        <v>111.2454607016831</v>
      </c>
      <c r="J244" s="306">
        <f t="shared" ca="1" si="101"/>
        <v>178.57834907767469</v>
      </c>
      <c r="K244" s="307">
        <f t="shared" ca="1" si="102"/>
        <v>799.71385638139236</v>
      </c>
      <c r="L244" s="304">
        <f t="shared" ca="1" si="87"/>
        <v>819.40983570354217</v>
      </c>
      <c r="M244" s="306">
        <f t="shared" ca="1" si="103"/>
        <v>1.3023284873177723</v>
      </c>
      <c r="N244" s="304">
        <f t="shared" ca="1" si="104"/>
        <v>74.617925862965109</v>
      </c>
      <c r="P244" s="310">
        <f t="shared" ca="1" si="105"/>
        <v>23</v>
      </c>
      <c r="Q244" s="304">
        <f t="shared" ca="1" si="106"/>
        <v>0</v>
      </c>
      <c r="R244" s="306">
        <f t="shared" ca="1" si="107"/>
        <v>0</v>
      </c>
      <c r="S244" s="307">
        <f t="shared" ca="1" si="108"/>
        <v>8.5499999999999989</v>
      </c>
      <c r="T244" s="304">
        <f t="shared" ca="1" si="88"/>
        <v>83.875499999999988</v>
      </c>
      <c r="U244" s="311">
        <f t="shared" ca="1" si="89"/>
        <v>0</v>
      </c>
      <c r="V244" s="306">
        <f t="shared" ca="1" si="90"/>
        <v>1.1308016393079707</v>
      </c>
      <c r="W244" s="304">
        <f t="shared" ca="1" si="91"/>
        <v>43.366831080714135</v>
      </c>
      <c r="Y244" s="314" t="str">
        <f t="shared" ca="1" si="109"/>
        <v/>
      </c>
      <c r="Z244" s="315" t="str">
        <f t="shared" ca="1" si="110"/>
        <v/>
      </c>
      <c r="AA244" s="316" t="str">
        <f t="shared" ca="1" si="111"/>
        <v/>
      </c>
      <c r="AC244" s="310">
        <f t="shared" ca="1" si="112"/>
        <v>5.9999999999999956</v>
      </c>
      <c r="AD244" s="323">
        <f t="shared" ca="1" si="113"/>
        <v>178.57834907767469</v>
      </c>
      <c r="AE244" s="324">
        <f t="shared" ca="1" si="92"/>
        <v>799.71385638139236</v>
      </c>
      <c r="AG244" s="306">
        <f t="shared" ca="1" si="114"/>
        <v>-14.677072866017792</v>
      </c>
      <c r="AH244" s="304">
        <f t="shared" ca="1" si="115"/>
        <v>-5.2124724497237871</v>
      </c>
    </row>
    <row r="245" spans="1:34" x14ac:dyDescent="0.3">
      <c r="A245" s="347">
        <f t="shared" ca="1" si="93"/>
        <v>0.1</v>
      </c>
      <c r="B245" s="304">
        <f t="shared" ca="1" si="94"/>
        <v>6.0999999999999952</v>
      </c>
      <c r="D245" s="306">
        <f t="shared" ca="1" si="95"/>
        <v>-1.3454088773009552</v>
      </c>
      <c r="E245" s="307">
        <f t="shared" ca="1" si="96"/>
        <v>-14.700451877698738</v>
      </c>
      <c r="F245" s="304">
        <f t="shared" ca="1" si="97"/>
        <v>14.76189047702416</v>
      </c>
      <c r="G245" s="306">
        <f t="shared" ca="1" si="98"/>
        <v>29.373815105153117</v>
      </c>
      <c r="H245" s="307">
        <f t="shared" ca="1" si="99"/>
        <v>105.79042960759449</v>
      </c>
      <c r="I245" s="304">
        <f t="shared" ca="1" si="100"/>
        <v>109.79269561492298</v>
      </c>
      <c r="J245" s="306">
        <f t="shared" ca="1" si="101"/>
        <v>181.5224576325765</v>
      </c>
      <c r="K245" s="307">
        <f t="shared" ca="1" si="102"/>
        <v>810.36640160154025</v>
      </c>
      <c r="L245" s="304">
        <f t="shared" ca="1" si="87"/>
        <v>830.44813653207711</v>
      </c>
      <c r="M245" s="306">
        <f t="shared" ca="1" si="103"/>
        <v>1.2999584309160657</v>
      </c>
      <c r="N245" s="304">
        <f t="shared" ca="1" si="104"/>
        <v>74.48213163393936</v>
      </c>
      <c r="P245" s="310">
        <f t="shared" ca="1" si="105"/>
        <v>23</v>
      </c>
      <c r="Q245" s="304">
        <f t="shared" ca="1" si="106"/>
        <v>0</v>
      </c>
      <c r="R245" s="306">
        <f t="shared" ca="1" si="107"/>
        <v>0</v>
      </c>
      <c r="S245" s="307">
        <f t="shared" ca="1" si="108"/>
        <v>8.5499999999999989</v>
      </c>
      <c r="T245" s="304">
        <f t="shared" ca="1" si="88"/>
        <v>83.875499999999988</v>
      </c>
      <c r="U245" s="311">
        <f t="shared" ca="1" si="89"/>
        <v>0</v>
      </c>
      <c r="V245" s="306">
        <f t="shared" ca="1" si="90"/>
        <v>1.1295957362975131</v>
      </c>
      <c r="W245" s="304">
        <f t="shared" ca="1" si="91"/>
        <v>42.196516681792964</v>
      </c>
      <c r="Y245" s="314" t="str">
        <f t="shared" ca="1" si="109"/>
        <v/>
      </c>
      <c r="Z245" s="315" t="str">
        <f t="shared" ca="1" si="110"/>
        <v/>
      </c>
      <c r="AA245" s="316" t="str">
        <f t="shared" ca="1" si="111"/>
        <v/>
      </c>
      <c r="AC245" s="310" t="e">
        <f t="shared" ca="1" si="112"/>
        <v>#N/A</v>
      </c>
      <c r="AD245" s="323" t="e">
        <f t="shared" ca="1" si="113"/>
        <v>#N/A</v>
      </c>
      <c r="AE245" s="324">
        <f t="shared" ca="1" si="92"/>
        <v>810.36640160154025</v>
      </c>
      <c r="AG245" s="306">
        <f t="shared" ca="1" si="114"/>
        <v>-14.530734485881791</v>
      </c>
      <c r="AH245" s="304">
        <f t="shared" ca="1" si="115"/>
        <v>-5.0721439860484372</v>
      </c>
    </row>
    <row r="246" spans="1:34" x14ac:dyDescent="0.3">
      <c r="A246" s="347">
        <f t="shared" ca="1" si="93"/>
        <v>0.1</v>
      </c>
      <c r="B246" s="304">
        <f t="shared" ca="1" si="94"/>
        <v>6.1999999999999948</v>
      </c>
      <c r="D246" s="306">
        <f t="shared" ca="1" si="95"/>
        <v>-1.3203753127128428</v>
      </c>
      <c r="E246" s="307">
        <f t="shared" ca="1" si="96"/>
        <v>-14.56536021027955</v>
      </c>
      <c r="F246" s="304">
        <f t="shared" ca="1" si="97"/>
        <v>14.625084923569377</v>
      </c>
      <c r="G246" s="306">
        <f t="shared" ca="1" si="98"/>
        <v>29.241777573881834</v>
      </c>
      <c r="H246" s="307">
        <f t="shared" ca="1" si="99"/>
        <v>104.33389358656653</v>
      </c>
      <c r="I246" s="304">
        <f t="shared" ca="1" si="100"/>
        <v>108.35424729383416</v>
      </c>
      <c r="J246" s="306">
        <f t="shared" ca="1" si="101"/>
        <v>184.45323726652825</v>
      </c>
      <c r="K246" s="307">
        <f t="shared" ca="1" si="102"/>
        <v>820.87261776124831</v>
      </c>
      <c r="L246" s="304">
        <f t="shared" ca="1" si="87"/>
        <v>841.34110284016595</v>
      </c>
      <c r="M246" s="306">
        <f t="shared" ca="1" si="103"/>
        <v>1.2975362286761869</v>
      </c>
      <c r="N246" s="304">
        <f t="shared" ca="1" si="104"/>
        <v>74.34334966846717</v>
      </c>
      <c r="P246" s="310">
        <f t="shared" ca="1" si="105"/>
        <v>23</v>
      </c>
      <c r="Q246" s="304">
        <f t="shared" ca="1" si="106"/>
        <v>0</v>
      </c>
      <c r="R246" s="306">
        <f t="shared" ca="1" si="107"/>
        <v>0</v>
      </c>
      <c r="S246" s="307">
        <f t="shared" ca="1" si="108"/>
        <v>8.5499999999999989</v>
      </c>
      <c r="T246" s="304">
        <f t="shared" ca="1" si="88"/>
        <v>83.875499999999988</v>
      </c>
      <c r="U246" s="311">
        <f t="shared" ca="1" si="89"/>
        <v>0</v>
      </c>
      <c r="V246" s="306">
        <f t="shared" ca="1" si="90"/>
        <v>1.1284076068550817</v>
      </c>
      <c r="W246" s="304">
        <f t="shared" ca="1" si="91"/>
        <v>41.054857157181992</v>
      </c>
      <c r="Y246" s="314" t="str">
        <f t="shared" ca="1" si="109"/>
        <v/>
      </c>
      <c r="Z246" s="315" t="str">
        <f t="shared" ca="1" si="110"/>
        <v/>
      </c>
      <c r="AA246" s="316" t="str">
        <f t="shared" ca="1" si="111"/>
        <v/>
      </c>
      <c r="AC246" s="310" t="e">
        <f t="shared" ca="1" si="112"/>
        <v>#N/A</v>
      </c>
      <c r="AD246" s="323" t="e">
        <f t="shared" ca="1" si="113"/>
        <v>#N/A</v>
      </c>
      <c r="AE246" s="324">
        <f t="shared" ca="1" si="92"/>
        <v>820.87261776124831</v>
      </c>
      <c r="AG246" s="306">
        <f t="shared" ca="1" si="114"/>
        <v>-14.387661815684261</v>
      </c>
      <c r="AH246" s="304">
        <f t="shared" ca="1" si="115"/>
        <v>-4.9352651089816337</v>
      </c>
    </row>
    <row r="247" spans="1:34" x14ac:dyDescent="0.3">
      <c r="A247" s="347">
        <f t="shared" ca="1" si="93"/>
        <v>0.1</v>
      </c>
      <c r="B247" s="304">
        <f t="shared" ca="1" si="94"/>
        <v>6.2999999999999945</v>
      </c>
      <c r="D247" s="306">
        <f t="shared" ca="1" si="95"/>
        <v>-1.2958545575292755</v>
      </c>
      <c r="E247" s="307">
        <f t="shared" ca="1" si="96"/>
        <v>-14.433574991887156</v>
      </c>
      <c r="F247" s="304">
        <f t="shared" ca="1" si="97"/>
        <v>14.491629517783695</v>
      </c>
      <c r="G247" s="306">
        <f t="shared" ca="1" si="98"/>
        <v>29.112192118128906</v>
      </c>
      <c r="H247" s="307">
        <f t="shared" ca="1" si="99"/>
        <v>102.89053608737781</v>
      </c>
      <c r="I247" s="304">
        <f t="shared" ca="1" si="100"/>
        <v>106.92980008524678</v>
      </c>
      <c r="J247" s="306">
        <f t="shared" ca="1" si="101"/>
        <v>187.3709357511288</v>
      </c>
      <c r="K247" s="307">
        <f t="shared" ca="1" si="102"/>
        <v>831.23383924494556</v>
      </c>
      <c r="L247" s="304">
        <f t="shared" ca="1" si="87"/>
        <v>852.09011440700669</v>
      </c>
      <c r="M247" s="306">
        <f t="shared" ca="1" si="103"/>
        <v>1.2950603547513377</v>
      </c>
      <c r="N247" s="304">
        <f t="shared" ca="1" si="104"/>
        <v>74.201492541966829</v>
      </c>
      <c r="P247" s="310">
        <f t="shared" ca="1" si="105"/>
        <v>23</v>
      </c>
      <c r="Q247" s="304">
        <f t="shared" ca="1" si="106"/>
        <v>0</v>
      </c>
      <c r="R247" s="306">
        <f t="shared" ca="1" si="107"/>
        <v>0</v>
      </c>
      <c r="S247" s="307">
        <f t="shared" ca="1" si="108"/>
        <v>8.5499999999999989</v>
      </c>
      <c r="T247" s="304">
        <f t="shared" ca="1" si="88"/>
        <v>83.875499999999988</v>
      </c>
      <c r="U247" s="311">
        <f t="shared" ca="1" si="89"/>
        <v>0</v>
      </c>
      <c r="V247" s="306">
        <f t="shared" ca="1" si="90"/>
        <v>1.1272370483733223</v>
      </c>
      <c r="W247" s="304">
        <f t="shared" ca="1" si="91"/>
        <v>39.94104514594045</v>
      </c>
      <c r="Y247" s="314" t="str">
        <f t="shared" ca="1" si="109"/>
        <v/>
      </c>
      <c r="Z247" s="315" t="str">
        <f t="shared" ca="1" si="110"/>
        <v/>
      </c>
      <c r="AA247" s="316" t="str">
        <f t="shared" ca="1" si="111"/>
        <v/>
      </c>
      <c r="AC247" s="310" t="e">
        <f t="shared" ca="1" si="112"/>
        <v>#N/A</v>
      </c>
      <c r="AD247" s="323" t="e">
        <f t="shared" ca="1" si="113"/>
        <v>#N/A</v>
      </c>
      <c r="AE247" s="324">
        <f t="shared" ca="1" si="92"/>
        <v>831.23383924494556</v>
      </c>
      <c r="AG247" s="306">
        <f t="shared" ca="1" si="114"/>
        <v>-14.247749456744222</v>
      </c>
      <c r="AH247" s="304">
        <f t="shared" ca="1" si="115"/>
        <v>-4.8017376792025726</v>
      </c>
    </row>
    <row r="248" spans="1:34" x14ac:dyDescent="0.3">
      <c r="A248" s="347">
        <f t="shared" ca="1" si="93"/>
        <v>0.1</v>
      </c>
      <c r="B248" s="304">
        <f t="shared" ca="1" si="94"/>
        <v>6.3999999999999941</v>
      </c>
      <c r="D248" s="306">
        <f t="shared" ca="1" si="95"/>
        <v>-1.271831168548031</v>
      </c>
      <c r="E248" s="307">
        <f t="shared" ca="1" si="96"/>
        <v>-14.305002994400191</v>
      </c>
      <c r="F248" s="304">
        <f t="shared" ca="1" si="97"/>
        <v>14.361429775307494</v>
      </c>
      <c r="G248" s="306">
        <f t="shared" ca="1" si="98"/>
        <v>28.985009001274104</v>
      </c>
      <c r="H248" s="307">
        <f t="shared" ca="1" si="99"/>
        <v>101.4600357879378</v>
      </c>
      <c r="I248" s="304">
        <f t="shared" ca="1" si="100"/>
        <v>105.51904855945945</v>
      </c>
      <c r="J248" s="306">
        <f t="shared" ca="1" si="101"/>
        <v>190.27579580709894</v>
      </c>
      <c r="K248" s="307">
        <f t="shared" ca="1" si="102"/>
        <v>841.45136783871135</v>
      </c>
      <c r="L248" s="304">
        <f t="shared" ca="1" si="87"/>
        <v>862.69651842792496</v>
      </c>
      <c r="M248" s="306">
        <f t="shared" ca="1" si="103"/>
        <v>1.2925292229626024</v>
      </c>
      <c r="N248" s="304">
        <f t="shared" ca="1" si="104"/>
        <v>74.056469373080887</v>
      </c>
      <c r="P248" s="310">
        <f t="shared" ca="1" si="105"/>
        <v>23</v>
      </c>
      <c r="Q248" s="304">
        <f t="shared" ca="1" si="106"/>
        <v>0</v>
      </c>
      <c r="R248" s="306">
        <f t="shared" ca="1" si="107"/>
        <v>0</v>
      </c>
      <c r="S248" s="307">
        <f t="shared" ca="1" si="108"/>
        <v>8.5499999999999989</v>
      </c>
      <c r="T248" s="304">
        <f t="shared" ca="1" si="88"/>
        <v>83.875499999999988</v>
      </c>
      <c r="U248" s="311">
        <f t="shared" ca="1" si="89"/>
        <v>0</v>
      </c>
      <c r="V248" s="306">
        <f t="shared" ca="1" si="90"/>
        <v>1.1260838633634644</v>
      </c>
      <c r="W248" s="304">
        <f t="shared" ca="1" si="91"/>
        <v>38.854303614550794</v>
      </c>
      <c r="Y248" s="314" t="str">
        <f t="shared" ca="1" si="109"/>
        <v/>
      </c>
      <c r="Z248" s="315" t="str">
        <f t="shared" ca="1" si="110"/>
        <v/>
      </c>
      <c r="AA248" s="316" t="str">
        <f t="shared" ca="1" si="111"/>
        <v/>
      </c>
      <c r="AC248" s="310" t="e">
        <f t="shared" ca="1" si="112"/>
        <v>#N/A</v>
      </c>
      <c r="AD248" s="323" t="e">
        <f t="shared" ca="1" si="113"/>
        <v>#N/A</v>
      </c>
      <c r="AE248" s="324">
        <f t="shared" ca="1" si="92"/>
        <v>841.45136783871135</v>
      </c>
      <c r="AG248" s="306">
        <f t="shared" ca="1" si="114"/>
        <v>-14.110895362593652</v>
      </c>
      <c r="AH248" s="304">
        <f t="shared" ca="1" si="115"/>
        <v>-4.671467268531047</v>
      </c>
    </row>
    <row r="249" spans="1:34" x14ac:dyDescent="0.3">
      <c r="A249" s="347">
        <f t="shared" ca="1" si="93"/>
        <v>0.1</v>
      </c>
      <c r="B249" s="304">
        <f t="shared" ca="1" si="94"/>
        <v>6.4999999999999938</v>
      </c>
      <c r="D249" s="306">
        <f t="shared" ca="1" si="95"/>
        <v>-1.2482902768561208</v>
      </c>
      <c r="E249" s="307">
        <f t="shared" ca="1" si="96"/>
        <v>-14.179554487907509</v>
      </c>
      <c r="F249" s="304">
        <f t="shared" ca="1" si="97"/>
        <v>14.234394756744367</v>
      </c>
      <c r="G249" s="306">
        <f t="shared" ca="1" si="98"/>
        <v>28.860179973588494</v>
      </c>
      <c r="H249" s="307">
        <f t="shared" ca="1" si="99"/>
        <v>100.04208033914705</v>
      </c>
      <c r="I249" s="304">
        <f t="shared" ca="1" si="100"/>
        <v>104.12169719463984</v>
      </c>
      <c r="J249" s="306">
        <f t="shared" ca="1" si="101"/>
        <v>193.16805525584206</v>
      </c>
      <c r="K249" s="307">
        <f t="shared" ca="1" si="102"/>
        <v>851.52647364506561</v>
      </c>
      <c r="L249" s="304">
        <f t="shared" ca="1" si="87"/>
        <v>873.16163044978373</v>
      </c>
      <c r="M249" s="306">
        <f t="shared" ca="1" si="103"/>
        <v>1.2899411839028043</v>
      </c>
      <c r="N249" s="304">
        <f t="shared" ca="1" si="104"/>
        <v>73.908185657739452</v>
      </c>
      <c r="P249" s="310">
        <f t="shared" ca="1" si="105"/>
        <v>23</v>
      </c>
      <c r="Q249" s="304">
        <f t="shared" ca="1" si="106"/>
        <v>0</v>
      </c>
      <c r="R249" s="306">
        <f t="shared" ca="1" si="107"/>
        <v>0</v>
      </c>
      <c r="S249" s="307">
        <f t="shared" ca="1" si="108"/>
        <v>8.5499999999999989</v>
      </c>
      <c r="T249" s="304">
        <f t="shared" ca="1" si="88"/>
        <v>83.875499999999988</v>
      </c>
      <c r="U249" s="311">
        <f t="shared" ca="1" si="89"/>
        <v>0</v>
      </c>
      <c r="V249" s="306">
        <f t="shared" ca="1" si="90"/>
        <v>1.1249478593057789</v>
      </c>
      <c r="W249" s="304">
        <f t="shared" ca="1" si="91"/>
        <v>37.793884526935038</v>
      </c>
      <c r="Y249" s="314" t="str">
        <f t="shared" ca="1" si="109"/>
        <v/>
      </c>
      <c r="Z249" s="315" t="str">
        <f t="shared" ca="1" si="110"/>
        <v/>
      </c>
      <c r="AA249" s="316" t="str">
        <f t="shared" ca="1" si="111"/>
        <v/>
      </c>
      <c r="AC249" s="310" t="e">
        <f t="shared" ca="1" si="112"/>
        <v>#N/A</v>
      </c>
      <c r="AD249" s="323" t="e">
        <f t="shared" ca="1" si="113"/>
        <v>#N/A</v>
      </c>
      <c r="AE249" s="324">
        <f t="shared" ca="1" si="92"/>
        <v>851.52647364506561</v>
      </c>
      <c r="AG249" s="306">
        <f t="shared" ca="1" si="114"/>
        <v>-13.977000653866993</v>
      </c>
      <c r="AH249" s="304">
        <f t="shared" ca="1" si="115"/>
        <v>-4.5443629958538949</v>
      </c>
    </row>
    <row r="250" spans="1:34" x14ac:dyDescent="0.3">
      <c r="A250" s="347">
        <f t="shared" ca="1" si="93"/>
        <v>0.1</v>
      </c>
      <c r="B250" s="304">
        <f t="shared" ca="1" si="94"/>
        <v>6.5999999999999934</v>
      </c>
      <c r="D250" s="306">
        <f t="shared" ca="1" si="95"/>
        <v>-1.2252175629547428</v>
      </c>
      <c r="E250" s="307">
        <f t="shared" ca="1" si="96"/>
        <v>-14.057143087057176</v>
      </c>
      <c r="F250" s="304">
        <f t="shared" ca="1" si="97"/>
        <v>14.110436911965982</v>
      </c>
      <c r="G250" s="306">
        <f t="shared" ca="1" si="98"/>
        <v>28.737658217293021</v>
      </c>
      <c r="H250" s="307">
        <f t="shared" ca="1" si="99"/>
        <v>98.636366030441337</v>
      </c>
      <c r="I250" s="304">
        <f t="shared" ca="1" si="100"/>
        <v>102.73746007910236</v>
      </c>
      <c r="J250" s="306">
        <f t="shared" ca="1" si="101"/>
        <v>196.04794716538615</v>
      </c>
      <c r="K250" s="307">
        <f t="shared" ca="1" si="102"/>
        <v>861.46039596354501</v>
      </c>
      <c r="L250" s="304">
        <f t="shared" ca="1" si="87"/>
        <v>883.4867352719167</v>
      </c>
      <c r="M250" s="306">
        <f t="shared" ca="1" si="103"/>
        <v>1.287294521876813</v>
      </c>
      <c r="N250" s="304">
        <f t="shared" ca="1" si="104"/>
        <v>73.756543093852613</v>
      </c>
      <c r="P250" s="310">
        <f t="shared" ca="1" si="105"/>
        <v>23</v>
      </c>
      <c r="Q250" s="304">
        <f t="shared" ca="1" si="106"/>
        <v>0</v>
      </c>
      <c r="R250" s="306">
        <f t="shared" ca="1" si="107"/>
        <v>0</v>
      </c>
      <c r="S250" s="307">
        <f t="shared" ca="1" si="108"/>
        <v>8.5499999999999989</v>
      </c>
      <c r="T250" s="304">
        <f t="shared" ca="1" si="88"/>
        <v>83.875499999999988</v>
      </c>
      <c r="U250" s="311">
        <f t="shared" ca="1" si="89"/>
        <v>0</v>
      </c>
      <c r="V250" s="306">
        <f t="shared" ca="1" si="90"/>
        <v>1.1238288485057806</v>
      </c>
      <c r="W250" s="304">
        <f t="shared" ca="1" si="91"/>
        <v>36.759067583028333</v>
      </c>
      <c r="Y250" s="314" t="str">
        <f t="shared" ca="1" si="109"/>
        <v/>
      </c>
      <c r="Z250" s="315" t="str">
        <f t="shared" ca="1" si="110"/>
        <v/>
      </c>
      <c r="AA250" s="316" t="str">
        <f t="shared" ca="1" si="111"/>
        <v/>
      </c>
      <c r="AC250" s="310" t="e">
        <f t="shared" ca="1" si="112"/>
        <v>#N/A</v>
      </c>
      <c r="AD250" s="323" t="e">
        <f t="shared" ca="1" si="113"/>
        <v>#N/A</v>
      </c>
      <c r="AE250" s="324">
        <f t="shared" ca="1" si="92"/>
        <v>861.46039596354501</v>
      </c>
      <c r="AG250" s="306">
        <f t="shared" ca="1" si="114"/>
        <v>-13.845969440288295</v>
      </c>
      <c r="AH250" s="304">
        <f t="shared" ca="1" si="115"/>
        <v>-4.4203373715713496</v>
      </c>
    </row>
    <row r="251" spans="1:34" x14ac:dyDescent="0.3">
      <c r="A251" s="347">
        <f t="shared" ca="1" si="93"/>
        <v>0.1</v>
      </c>
      <c r="B251" s="304">
        <f t="shared" ca="1" si="94"/>
        <v>6.6999999999999931</v>
      </c>
      <c r="D251" s="306">
        <f t="shared" ca="1" si="95"/>
        <v>-1.2025992331993929</v>
      </c>
      <c r="E251" s="307">
        <f t="shared" ca="1" si="96"/>
        <v>-13.937685605308065</v>
      </c>
      <c r="F251" s="304">
        <f t="shared" ca="1" si="97"/>
        <v>13.989471932424877</v>
      </c>
      <c r="G251" s="306">
        <f t="shared" ca="1" si="98"/>
        <v>28.617398293973082</v>
      </c>
      <c r="H251" s="307">
        <f t="shared" ca="1" si="99"/>
        <v>97.242597469910535</v>
      </c>
      <c r="I251" s="304">
        <f t="shared" ca="1" si="100"/>
        <v>101.36606063081935</v>
      </c>
      <c r="J251" s="306">
        <f t="shared" ca="1" si="101"/>
        <v>198.91569999094946</v>
      </c>
      <c r="K251" s="307">
        <f t="shared" ca="1" si="102"/>
        <v>871.2543441385626</v>
      </c>
      <c r="L251" s="304">
        <f t="shared" ca="1" si="87"/>
        <v>893.67308781411009</v>
      </c>
      <c r="M251" s="306">
        <f t="shared" ca="1" si="103"/>
        <v>1.2845874516678726</v>
      </c>
      <c r="N251" s="304">
        <f t="shared" ca="1" si="104"/>
        <v>73.601439396034721</v>
      </c>
      <c r="P251" s="310">
        <f t="shared" ca="1" si="105"/>
        <v>23</v>
      </c>
      <c r="Q251" s="304">
        <f t="shared" ca="1" si="106"/>
        <v>0</v>
      </c>
      <c r="R251" s="306">
        <f t="shared" ca="1" si="107"/>
        <v>0</v>
      </c>
      <c r="S251" s="307">
        <f t="shared" ca="1" si="108"/>
        <v>8.5499999999999989</v>
      </c>
      <c r="T251" s="304">
        <f t="shared" ca="1" si="88"/>
        <v>83.875499999999988</v>
      </c>
      <c r="U251" s="311">
        <f t="shared" ca="1" si="89"/>
        <v>0</v>
      </c>
      <c r="V251" s="306">
        <f t="shared" ca="1" si="90"/>
        <v>1.1227266479559266</v>
      </c>
      <c r="W251" s="304">
        <f t="shared" ca="1" si="91"/>
        <v>35.749159021905193</v>
      </c>
      <c r="Y251" s="314" t="str">
        <f t="shared" ca="1" si="109"/>
        <v/>
      </c>
      <c r="Z251" s="315" t="str">
        <f t="shared" ca="1" si="110"/>
        <v/>
      </c>
      <c r="AA251" s="316" t="str">
        <f t="shared" ca="1" si="111"/>
        <v/>
      </c>
      <c r="AC251" s="310" t="e">
        <f t="shared" ca="1" si="112"/>
        <v>#N/A</v>
      </c>
      <c r="AD251" s="323" t="e">
        <f t="shared" ca="1" si="113"/>
        <v>#N/A</v>
      </c>
      <c r="AE251" s="324">
        <f t="shared" ca="1" si="92"/>
        <v>871.2543441385626</v>
      </c>
      <c r="AG251" s="306">
        <f t="shared" ca="1" si="114"/>
        <v>-13.717708649146466</v>
      </c>
      <c r="AH251" s="304">
        <f t="shared" ca="1" si="115"/>
        <v>-4.2993061500617937</v>
      </c>
    </row>
    <row r="252" spans="1:34" x14ac:dyDescent="0.3">
      <c r="A252" s="347">
        <f t="shared" ca="1" si="93"/>
        <v>0.1</v>
      </c>
      <c r="B252" s="304">
        <f t="shared" ca="1" si="94"/>
        <v>6.7999999999999927</v>
      </c>
      <c r="D252" s="306">
        <f t="shared" ca="1" si="95"/>
        <v>-1.1804219974808963</v>
      </c>
      <c r="E252" s="307">
        <f t="shared" ca="1" si="96"/>
        <v>-13.821101916621021</v>
      </c>
      <c r="F252" s="304">
        <f t="shared" ca="1" si="97"/>
        <v>13.871418611005943</v>
      </c>
      <c r="G252" s="306">
        <f t="shared" ca="1" si="98"/>
        <v>28.499356094224993</v>
      </c>
      <c r="H252" s="307">
        <f t="shared" ca="1" si="99"/>
        <v>95.860487278248428</v>
      </c>
      <c r="I252" s="304">
        <f t="shared" ca="1" si="100"/>
        <v>100.00723133358241</v>
      </c>
      <c r="J252" s="306">
        <f t="shared" ca="1" si="101"/>
        <v>201.77153771035935</v>
      </c>
      <c r="K252" s="307">
        <f t="shared" ca="1" si="102"/>
        <v>880.90949837597054</v>
      </c>
      <c r="L252" s="304">
        <f t="shared" ca="1" si="87"/>
        <v>903.72191395307379</v>
      </c>
      <c r="M252" s="306">
        <f t="shared" ca="1" si="103"/>
        <v>1.2818181151188108</v>
      </c>
      <c r="N252" s="304">
        <f t="shared" ca="1" si="104"/>
        <v>73.442768099722159</v>
      </c>
      <c r="P252" s="310">
        <f t="shared" ca="1" si="105"/>
        <v>23</v>
      </c>
      <c r="Q252" s="304">
        <f t="shared" ca="1" si="106"/>
        <v>0</v>
      </c>
      <c r="R252" s="306">
        <f t="shared" ca="1" si="107"/>
        <v>0</v>
      </c>
      <c r="S252" s="307">
        <f t="shared" ca="1" si="108"/>
        <v>8.5499999999999989</v>
      </c>
      <c r="T252" s="304">
        <f t="shared" ca="1" si="88"/>
        <v>83.875499999999988</v>
      </c>
      <c r="U252" s="311">
        <f t="shared" ca="1" si="89"/>
        <v>0</v>
      </c>
      <c r="V252" s="306">
        <f t="shared" ca="1" si="90"/>
        <v>1.1216410792025613</v>
      </c>
      <c r="W252" s="304">
        <f t="shared" ca="1" si="91"/>
        <v>34.763490485716524</v>
      </c>
      <c r="Y252" s="314" t="str">
        <f t="shared" ca="1" si="109"/>
        <v/>
      </c>
      <c r="Z252" s="315" t="str">
        <f t="shared" ca="1" si="110"/>
        <v/>
      </c>
      <c r="AA252" s="316" t="str">
        <f t="shared" ca="1" si="111"/>
        <v/>
      </c>
      <c r="AC252" s="310" t="e">
        <f t="shared" ca="1" si="112"/>
        <v>#N/A</v>
      </c>
      <c r="AD252" s="323" t="e">
        <f t="shared" ca="1" si="113"/>
        <v>#N/A</v>
      </c>
      <c r="AE252" s="324">
        <f t="shared" ca="1" si="92"/>
        <v>880.90949837597054</v>
      </c>
      <c r="AG252" s="306">
        <f t="shared" ca="1" si="114"/>
        <v>-13.592127859673028</v>
      </c>
      <c r="AH252" s="304">
        <f t="shared" ca="1" si="115"/>
        <v>-4.1811881896965142</v>
      </c>
    </row>
    <row r="253" spans="1:34" x14ac:dyDescent="0.3">
      <c r="A253" s="347">
        <f t="shared" ca="1" si="93"/>
        <v>0.1</v>
      </c>
      <c r="B253" s="304">
        <f t="shared" ca="1" si="94"/>
        <v>6.8999999999999924</v>
      </c>
      <c r="D253" s="306">
        <f t="shared" ca="1" si="95"/>
        <v>-1.1586730480781531</v>
      </c>
      <c r="E253" s="307">
        <f t="shared" ca="1" si="96"/>
        <v>-13.707314824156754</v>
      </c>
      <c r="F253" s="304">
        <f t="shared" ca="1" si="97"/>
        <v>13.756198708978081</v>
      </c>
      <c r="G253" s="306">
        <f t="shared" ca="1" si="98"/>
        <v>28.383488789417179</v>
      </c>
      <c r="H253" s="307">
        <f t="shared" ca="1" si="99"/>
        <v>94.48975579583275</v>
      </c>
      <c r="I253" s="304">
        <f t="shared" ca="1" si="100"/>
        <v>98.660713489286493</v>
      </c>
      <c r="J253" s="306">
        <f t="shared" ca="1" si="101"/>
        <v>204.61567995454146</v>
      </c>
      <c r="K253" s="307">
        <f t="shared" ca="1" si="102"/>
        <v>890.42701052967459</v>
      </c>
      <c r="L253" s="304">
        <f t="shared" ca="1" si="87"/>
        <v>913.63441132877244</v>
      </c>
      <c r="M253" s="306">
        <f t="shared" ca="1" si="103"/>
        <v>1.2789845775162012</v>
      </c>
      <c r="N253" s="304">
        <f t="shared" ca="1" si="104"/>
        <v>73.280418354001014</v>
      </c>
      <c r="P253" s="310">
        <f t="shared" ca="1" si="105"/>
        <v>23</v>
      </c>
      <c r="Q253" s="304">
        <f t="shared" ca="1" si="106"/>
        <v>0</v>
      </c>
      <c r="R253" s="306">
        <f t="shared" ca="1" si="107"/>
        <v>0</v>
      </c>
      <c r="S253" s="307">
        <f t="shared" ca="1" si="108"/>
        <v>8.5499999999999989</v>
      </c>
      <c r="T253" s="304">
        <f t="shared" ca="1" si="88"/>
        <v>83.875499999999988</v>
      </c>
      <c r="U253" s="311">
        <f t="shared" ca="1" si="89"/>
        <v>0</v>
      </c>
      <c r="V253" s="306">
        <f t="shared" ca="1" si="90"/>
        <v>1.1205719682178774</v>
      </c>
      <c r="W253" s="304">
        <f t="shared" ca="1" si="91"/>
        <v>33.801417940938158</v>
      </c>
      <c r="Y253" s="314" t="str">
        <f t="shared" ca="1" si="109"/>
        <v/>
      </c>
      <c r="Z253" s="315" t="str">
        <f t="shared" ca="1" si="110"/>
        <v/>
      </c>
      <c r="AA253" s="316" t="str">
        <f t="shared" ca="1" si="111"/>
        <v/>
      </c>
      <c r="AC253" s="310" t="e">
        <f t="shared" ca="1" si="112"/>
        <v>#N/A</v>
      </c>
      <c r="AD253" s="323" t="e">
        <f t="shared" ca="1" si="113"/>
        <v>#N/A</v>
      </c>
      <c r="AE253" s="324">
        <f t="shared" ca="1" si="92"/>
        <v>890.42701052967459</v>
      </c>
      <c r="AG253" s="306">
        <f t="shared" ca="1" si="114"/>
        <v>-13.469139142757758</v>
      </c>
      <c r="AH253" s="304">
        <f t="shared" ca="1" si="115"/>
        <v>-4.0659053199668458</v>
      </c>
    </row>
    <row r="254" spans="1:34" x14ac:dyDescent="0.3">
      <c r="A254" s="347">
        <f t="shared" ca="1" si="93"/>
        <v>0.1</v>
      </c>
      <c r="B254" s="304">
        <f t="shared" ca="1" si="94"/>
        <v>6.999999999999992</v>
      </c>
      <c r="D254" s="306">
        <f t="shared" ca="1" si="95"/>
        <v>-1.1373400396181261</v>
      </c>
      <c r="E254" s="307">
        <f t="shared" ca="1" si="96"/>
        <v>-13.596249935575527</v>
      </c>
      <c r="F254" s="304">
        <f t="shared" ca="1" si="97"/>
        <v>13.643736829635644</v>
      </c>
      <c r="G254" s="306">
        <f t="shared" ca="1" si="98"/>
        <v>28.269754785455365</v>
      </c>
      <c r="H254" s="307">
        <f t="shared" ca="1" si="99"/>
        <v>93.130130802275204</v>
      </c>
      <c r="I254" s="304">
        <f t="shared" ca="1" si="100"/>
        <v>97.326256985865157</v>
      </c>
      <c r="J254" s="306">
        <f t="shared" ca="1" si="101"/>
        <v>207.44834213328508</v>
      </c>
      <c r="K254" s="307">
        <f t="shared" ca="1" si="102"/>
        <v>899.80800485958002</v>
      </c>
      <c r="L254" s="304">
        <f t="shared" ca="1" si="87"/>
        <v>923.41175012191957</v>
      </c>
      <c r="M254" s="306">
        <f t="shared" ca="1" si="103"/>
        <v>1.2760848237647213</v>
      </c>
      <c r="N254" s="304">
        <f t="shared" ca="1" si="104"/>
        <v>73.114274702413979</v>
      </c>
      <c r="P254" s="310">
        <f t="shared" ca="1" si="105"/>
        <v>23</v>
      </c>
      <c r="Q254" s="304">
        <f t="shared" ca="1" si="106"/>
        <v>0</v>
      </c>
      <c r="R254" s="306">
        <f t="shared" ca="1" si="107"/>
        <v>0</v>
      </c>
      <c r="S254" s="307">
        <f t="shared" ca="1" si="108"/>
        <v>8.5499999999999989</v>
      </c>
      <c r="T254" s="304">
        <f t="shared" ca="1" si="88"/>
        <v>83.875499999999988</v>
      </c>
      <c r="U254" s="311">
        <f t="shared" ca="1" si="89"/>
        <v>0</v>
      </c>
      <c r="V254" s="306">
        <f t="shared" ca="1" si="90"/>
        <v>1.1195191452766753</v>
      </c>
      <c r="W254" s="304">
        <f t="shared" ca="1" si="91"/>
        <v>32.86232065365806</v>
      </c>
      <c r="Y254" s="314" t="str">
        <f t="shared" ca="1" si="109"/>
        <v/>
      </c>
      <c r="Z254" s="315" t="str">
        <f t="shared" ca="1" si="110"/>
        <v/>
      </c>
      <c r="AA254" s="316" t="str">
        <f t="shared" ca="1" si="111"/>
        <v/>
      </c>
      <c r="AC254" s="310">
        <f t="shared" ca="1" si="112"/>
        <v>6.999999999999992</v>
      </c>
      <c r="AD254" s="323">
        <f t="shared" ca="1" si="113"/>
        <v>207.44834213328508</v>
      </c>
      <c r="AE254" s="324">
        <f t="shared" ca="1" si="92"/>
        <v>899.80800485958002</v>
      </c>
      <c r="AG254" s="306">
        <f t="shared" ca="1" si="114"/>
        <v>-13.348656905455133</v>
      </c>
      <c r="AH254" s="304">
        <f t="shared" ca="1" si="115"/>
        <v>-3.9533822153144049</v>
      </c>
    </row>
    <row r="255" spans="1:34" x14ac:dyDescent="0.3">
      <c r="A255" s="347">
        <f t="shared" ca="1" si="93"/>
        <v>0.1</v>
      </c>
      <c r="B255" s="304">
        <f t="shared" ca="1" si="94"/>
        <v>7.0999999999999917</v>
      </c>
      <c r="D255" s="306">
        <f t="shared" ca="1" si="95"/>
        <v>-1.1164110700829966</v>
      </c>
      <c r="E255" s="307">
        <f t="shared" ca="1" si="96"/>
        <v>-13.487835544559809</v>
      </c>
      <c r="F255" s="304">
        <f t="shared" ca="1" si="97"/>
        <v>13.533960298245848</v>
      </c>
      <c r="G255" s="306">
        <f t="shared" ca="1" si="98"/>
        <v>28.158113678447066</v>
      </c>
      <c r="H255" s="307">
        <f t="shared" ca="1" si="99"/>
        <v>91.781347247819227</v>
      </c>
      <c r="I255" s="304">
        <f t="shared" ca="1" si="100"/>
        <v>96.003620080459058</v>
      </c>
      <c r="J255" s="306">
        <f t="shared" ca="1" si="101"/>
        <v>210.26973555648021</v>
      </c>
      <c r="K255" s="307">
        <f t="shared" ca="1" si="102"/>
        <v>909.05357876208473</v>
      </c>
      <c r="L255" s="304">
        <f t="shared" ca="1" si="87"/>
        <v>933.0550738038703</v>
      </c>
      <c r="M255" s="306">
        <f t="shared" ca="1" si="103"/>
        <v>1.2731167543380491</v>
      </c>
      <c r="N255" s="304">
        <f t="shared" ca="1" si="104"/>
        <v>72.944216850963855</v>
      </c>
      <c r="P255" s="310">
        <f t="shared" ca="1" si="105"/>
        <v>23</v>
      </c>
      <c r="Q255" s="304">
        <f t="shared" ca="1" si="106"/>
        <v>0</v>
      </c>
      <c r="R255" s="306">
        <f t="shared" ca="1" si="107"/>
        <v>0</v>
      </c>
      <c r="S255" s="307">
        <f t="shared" ca="1" si="108"/>
        <v>8.5499999999999989</v>
      </c>
      <c r="T255" s="304">
        <f t="shared" ca="1" si="88"/>
        <v>83.875499999999988</v>
      </c>
      <c r="U255" s="311">
        <f t="shared" ca="1" si="89"/>
        <v>0</v>
      </c>
      <c r="V255" s="306">
        <f t="shared" ca="1" si="90"/>
        <v>1.1184824448377084</v>
      </c>
      <c r="W255" s="304">
        <f t="shared" ca="1" si="91"/>
        <v>31.945600215838446</v>
      </c>
      <c r="Y255" s="314" t="str">
        <f t="shared" ca="1" si="109"/>
        <v/>
      </c>
      <c r="Z255" s="315" t="str">
        <f t="shared" ca="1" si="110"/>
        <v/>
      </c>
      <c r="AA255" s="316" t="str">
        <f t="shared" ca="1" si="111"/>
        <v/>
      </c>
      <c r="AC255" s="310" t="e">
        <f t="shared" ca="1" si="112"/>
        <v>#N/A</v>
      </c>
      <c r="AD255" s="323" t="e">
        <f t="shared" ca="1" si="113"/>
        <v>#N/A</v>
      </c>
      <c r="AE255" s="324">
        <f t="shared" ca="1" si="92"/>
        <v>909.05357876208473</v>
      </c>
      <c r="AG255" s="306">
        <f t="shared" ca="1" si="114"/>
        <v>-13.230597739749287</v>
      </c>
      <c r="AH255" s="304">
        <f t="shared" ca="1" si="115"/>
        <v>-3.8435462752816449</v>
      </c>
    </row>
    <row r="256" spans="1:34" x14ac:dyDescent="0.3">
      <c r="A256" s="347">
        <f t="shared" ca="1" si="93"/>
        <v>0.1</v>
      </c>
      <c r="B256" s="304">
        <f t="shared" ca="1" si="94"/>
        <v>7.1999999999999913</v>
      </c>
      <c r="D256" s="306">
        <f t="shared" ca="1" si="95"/>
        <v>-1.095874662808521</v>
      </c>
      <c r="E256" s="307">
        <f t="shared" ca="1" si="96"/>
        <v>-13.382002518205004</v>
      </c>
      <c r="F256" s="304">
        <f t="shared" ca="1" si="97"/>
        <v>13.426799047942543</v>
      </c>
      <c r="G256" s="306">
        <f t="shared" ca="1" si="98"/>
        <v>28.048526212166212</v>
      </c>
      <c r="H256" s="307">
        <f t="shared" ca="1" si="99"/>
        <v>90.443146995998731</v>
      </c>
      <c r="I256" s="304">
        <f t="shared" ca="1" si="100"/>
        <v>94.692569197452926</v>
      </c>
      <c r="J256" s="306">
        <f t="shared" ca="1" si="101"/>
        <v>213.08006755101087</v>
      </c>
      <c r="K256" s="307">
        <f t="shared" ca="1" si="102"/>
        <v>918.16480347427557</v>
      </c>
      <c r="L256" s="304">
        <f t="shared" ca="1" si="87"/>
        <v>942.56549986008849</v>
      </c>
      <c r="M256" s="306">
        <f t="shared" ca="1" si="103"/>
        <v>1.2700781809916881</v>
      </c>
      <c r="N256" s="304">
        <f t="shared" ca="1" si="104"/>
        <v>72.770119422476427</v>
      </c>
      <c r="P256" s="310">
        <f t="shared" ca="1" si="105"/>
        <v>23</v>
      </c>
      <c r="Q256" s="304">
        <f t="shared" ca="1" si="106"/>
        <v>0</v>
      </c>
      <c r="R256" s="306">
        <f t="shared" ca="1" si="107"/>
        <v>0</v>
      </c>
      <c r="S256" s="307">
        <f t="shared" ca="1" si="108"/>
        <v>8.5499999999999989</v>
      </c>
      <c r="T256" s="304">
        <f t="shared" ca="1" si="88"/>
        <v>83.875499999999988</v>
      </c>
      <c r="U256" s="311">
        <f t="shared" ca="1" si="89"/>
        <v>0</v>
      </c>
      <c r="V256" s="306">
        <f t="shared" ca="1" si="90"/>
        <v>1.1174617054294191</v>
      </c>
      <c r="W256" s="304">
        <f t="shared" ca="1" si="91"/>
        <v>31.05067961968501</v>
      </c>
      <c r="Y256" s="314" t="str">
        <f t="shared" ca="1" si="109"/>
        <v/>
      </c>
      <c r="Z256" s="315" t="str">
        <f t="shared" ca="1" si="110"/>
        <v/>
      </c>
      <c r="AA256" s="316" t="str">
        <f t="shared" ca="1" si="111"/>
        <v/>
      </c>
      <c r="AC256" s="310" t="e">
        <f t="shared" ca="1" si="112"/>
        <v>#N/A</v>
      </c>
      <c r="AD256" s="323" t="e">
        <f t="shared" ca="1" si="113"/>
        <v>#N/A</v>
      </c>
      <c r="AE256" s="324">
        <f t="shared" ca="1" si="92"/>
        <v>918.16480347427557</v>
      </c>
      <c r="AG256" s="306">
        <f t="shared" ca="1" si="114"/>
        <v>-13.114880275056773</v>
      </c>
      <c r="AH256" s="304">
        <f t="shared" ca="1" si="115"/>
        <v>-3.7363275106243803</v>
      </c>
    </row>
    <row r="257" spans="1:34" x14ac:dyDescent="0.3">
      <c r="A257" s="347">
        <f t="shared" ca="1" si="93"/>
        <v>0.1</v>
      </c>
      <c r="B257" s="304">
        <f t="shared" ca="1" si="94"/>
        <v>7.2999999999999909</v>
      </c>
      <c r="D257" s="306">
        <f t="shared" ca="1" si="95"/>
        <v>-1.0757197494214681</v>
      </c>
      <c r="E257" s="307">
        <f t="shared" ca="1" si="96"/>
        <v>-13.278684189945924</v>
      </c>
      <c r="F257" s="304">
        <f t="shared" ca="1" si="97"/>
        <v>13.322185511229575</v>
      </c>
      <c r="G257" s="306">
        <f t="shared" ca="1" si="98"/>
        <v>27.940954237224066</v>
      </c>
      <c r="H257" s="307">
        <f t="shared" ca="1" si="99"/>
        <v>89.115278577004133</v>
      </c>
      <c r="I257" s="304">
        <f t="shared" ca="1" si="100"/>
        <v>93.392878741067307</v>
      </c>
      <c r="J257" s="306">
        <f t="shared" ca="1" si="101"/>
        <v>215.8795415734804</v>
      </c>
      <c r="K257" s="307">
        <f t="shared" ca="1" si="102"/>
        <v>927.14272475292569</v>
      </c>
      <c r="L257" s="304">
        <f t="shared" ca="1" si="87"/>
        <v>951.94412048830645</v>
      </c>
      <c r="M257" s="306">
        <f t="shared" ca="1" si="103"/>
        <v>1.2669668222220758</v>
      </c>
      <c r="N257" s="304">
        <f t="shared" ca="1" si="104"/>
        <v>72.59185169642663</v>
      </c>
      <c r="P257" s="310">
        <f t="shared" ca="1" si="105"/>
        <v>23</v>
      </c>
      <c r="Q257" s="304">
        <f t="shared" ca="1" si="106"/>
        <v>0</v>
      </c>
      <c r="R257" s="306">
        <f t="shared" ca="1" si="107"/>
        <v>0</v>
      </c>
      <c r="S257" s="307">
        <f t="shared" ca="1" si="108"/>
        <v>8.5499999999999989</v>
      </c>
      <c r="T257" s="304">
        <f t="shared" ca="1" si="88"/>
        <v>83.875499999999988</v>
      </c>
      <c r="U257" s="311">
        <f t="shared" ca="1" si="89"/>
        <v>0</v>
      </c>
      <c r="V257" s="306">
        <f t="shared" ca="1" si="90"/>
        <v>1.1164567695398808</v>
      </c>
      <c r="W257" s="304">
        <f t="shared" ca="1" si="91"/>
        <v>30.177002377435137</v>
      </c>
      <c r="Y257" s="314" t="str">
        <f t="shared" ca="1" si="109"/>
        <v/>
      </c>
      <c r="Z257" s="315" t="str">
        <f t="shared" ca="1" si="110"/>
        <v/>
      </c>
      <c r="AA257" s="316" t="str">
        <f t="shared" ca="1" si="111"/>
        <v/>
      </c>
      <c r="AC257" s="310" t="e">
        <f t="shared" ca="1" si="112"/>
        <v>#N/A</v>
      </c>
      <c r="AD257" s="323" t="e">
        <f t="shared" ca="1" si="113"/>
        <v>#N/A</v>
      </c>
      <c r="AE257" s="324">
        <f t="shared" ca="1" si="92"/>
        <v>927.14272475292569</v>
      </c>
      <c r="AG257" s="306">
        <f t="shared" ca="1" si="114"/>
        <v>-13.001425033955378</v>
      </c>
      <c r="AH257" s="304">
        <f t="shared" ca="1" si="115"/>
        <v>-3.6316584350508787</v>
      </c>
    </row>
    <row r="258" spans="1:34" x14ac:dyDescent="0.3">
      <c r="A258" s="347">
        <f t="shared" ca="1" si="93"/>
        <v>0.1</v>
      </c>
      <c r="B258" s="304">
        <f t="shared" ca="1" si="94"/>
        <v>7.3999999999999906</v>
      </c>
      <c r="D258" s="306">
        <f t="shared" ca="1" si="95"/>
        <v>-1.0559356536675915</v>
      </c>
      <c r="E258" s="307">
        <f t="shared" ca="1" si="96"/>
        <v>-13.177816257707283</v>
      </c>
      <c r="F258" s="304">
        <f t="shared" ca="1" si="97"/>
        <v>13.220054516777939</v>
      </c>
      <c r="G258" s="306">
        <f t="shared" ca="1" si="98"/>
        <v>27.835360671857305</v>
      </c>
      <c r="H258" s="307">
        <f t="shared" ca="1" si="99"/>
        <v>87.797496951233398</v>
      </c>
      <c r="I258" s="304">
        <f t="shared" ca="1" si="100"/>
        <v>92.104330922243918</v>
      </c>
      <c r="J258" s="306">
        <f t="shared" ca="1" si="101"/>
        <v>218.66835731893445</v>
      </c>
      <c r="K258" s="307">
        <f t="shared" ca="1" si="102"/>
        <v>935.98836352933756</v>
      </c>
      <c r="L258" s="304">
        <f t="shared" ca="1" si="87"/>
        <v>961.19200327244118</v>
      </c>
      <c r="M258" s="306">
        <f t="shared" ca="1" si="103"/>
        <v>1.2637802984552293</v>
      </c>
      <c r="N258" s="304">
        <f t="shared" ca="1" si="104"/>
        <v>72.409277333268193</v>
      </c>
      <c r="P258" s="310">
        <f t="shared" ca="1" si="105"/>
        <v>23</v>
      </c>
      <c r="Q258" s="304">
        <f t="shared" ca="1" si="106"/>
        <v>0</v>
      </c>
      <c r="R258" s="306">
        <f t="shared" ca="1" si="107"/>
        <v>0</v>
      </c>
      <c r="S258" s="307">
        <f t="shared" ca="1" si="108"/>
        <v>8.5499999999999989</v>
      </c>
      <c r="T258" s="304">
        <f t="shared" ca="1" si="88"/>
        <v>83.875499999999988</v>
      </c>
      <c r="U258" s="311">
        <f t="shared" ca="1" si="89"/>
        <v>0</v>
      </c>
      <c r="V258" s="306">
        <f t="shared" ca="1" si="90"/>
        <v>1.1154674835107572</v>
      </c>
      <c r="W258" s="304">
        <f t="shared" ca="1" si="91"/>
        <v>29.324031684046936</v>
      </c>
      <c r="Y258" s="314" t="str">
        <f t="shared" ca="1" si="109"/>
        <v/>
      </c>
      <c r="Z258" s="315" t="str">
        <f t="shared" ca="1" si="110"/>
        <v/>
      </c>
      <c r="AA258" s="316" t="str">
        <f t="shared" ca="1" si="111"/>
        <v/>
      </c>
      <c r="AC258" s="310" t="e">
        <f t="shared" ca="1" si="112"/>
        <v>#N/A</v>
      </c>
      <c r="AD258" s="323" t="e">
        <f t="shared" ca="1" si="113"/>
        <v>#N/A</v>
      </c>
      <c r="AE258" s="324">
        <f t="shared" ca="1" si="92"/>
        <v>935.98836352933756</v>
      </c>
      <c r="AG258" s="306">
        <f t="shared" ca="1" si="114"/>
        <v>-12.890154290633019</v>
      </c>
      <c r="AH258" s="304">
        <f t="shared" ca="1" si="115"/>
        <v>-3.5294739622731157</v>
      </c>
    </row>
    <row r="259" spans="1:34" x14ac:dyDescent="0.3">
      <c r="A259" s="347">
        <f t="shared" ca="1" si="93"/>
        <v>0.1</v>
      </c>
      <c r="B259" s="304">
        <f t="shared" ca="1" si="94"/>
        <v>7.4999999999999902</v>
      </c>
      <c r="D259" s="306">
        <f t="shared" ca="1" si="95"/>
        <v>-1.036512076084986</v>
      </c>
      <c r="E259" s="307">
        <f t="shared" ca="1" si="96"/>
        <v>-13.079336686985922</v>
      </c>
      <c r="F259" s="304">
        <f t="shared" ca="1" si="97"/>
        <v>13.12034319122049</v>
      </c>
      <c r="G259" s="306">
        <f t="shared" ca="1" si="98"/>
        <v>27.731709464248805</v>
      </c>
      <c r="H259" s="307">
        <f t="shared" ca="1" si="99"/>
        <v>86.489563282534803</v>
      </c>
      <c r="I259" s="304">
        <f t="shared" ca="1" si="100"/>
        <v>90.826715599613635</v>
      </c>
      <c r="J259" s="306">
        <f t="shared" ca="1" si="101"/>
        <v>221.44671082573976</v>
      </c>
      <c r="K259" s="307">
        <f t="shared" ca="1" si="102"/>
        <v>944.70271654102601</v>
      </c>
      <c r="L259" s="304">
        <f t="shared" ca="1" si="87"/>
        <v>970.31019183327805</v>
      </c>
      <c r="M259" s="306">
        <f t="shared" ca="1" si="103"/>
        <v>1.2605161269470049</v>
      </c>
      <c r="N259" s="304">
        <f t="shared" ca="1" si="104"/>
        <v>72.222254082240084</v>
      </c>
      <c r="P259" s="310">
        <f t="shared" ca="1" si="105"/>
        <v>23</v>
      </c>
      <c r="Q259" s="304">
        <f t="shared" ca="1" si="106"/>
        <v>0</v>
      </c>
      <c r="R259" s="306">
        <f t="shared" ca="1" si="107"/>
        <v>0</v>
      </c>
      <c r="S259" s="307">
        <f t="shared" ca="1" si="108"/>
        <v>8.5499999999999989</v>
      </c>
      <c r="T259" s="304">
        <f t="shared" ca="1" si="88"/>
        <v>83.875499999999988</v>
      </c>
      <c r="U259" s="311">
        <f t="shared" ca="1" si="89"/>
        <v>0</v>
      </c>
      <c r="V259" s="306">
        <f t="shared" ca="1" si="90"/>
        <v>1.1144936974351216</v>
      </c>
      <c r="W259" s="304">
        <f t="shared" ca="1" si="91"/>
        <v>28.491249620426835</v>
      </c>
      <c r="Y259" s="314" t="str">
        <f t="shared" ca="1" si="109"/>
        <v/>
      </c>
      <c r="Z259" s="315" t="str">
        <f t="shared" ca="1" si="110"/>
        <v/>
      </c>
      <c r="AA259" s="316" t="str">
        <f t="shared" ca="1" si="111"/>
        <v/>
      </c>
      <c r="AC259" s="310" t="e">
        <f t="shared" ca="1" si="112"/>
        <v>#N/A</v>
      </c>
      <c r="AD259" s="323" t="e">
        <f t="shared" ca="1" si="113"/>
        <v>#N/A</v>
      </c>
      <c r="AE259" s="324">
        <f t="shared" ca="1" si="92"/>
        <v>944.70271654102601</v>
      </c>
      <c r="AG259" s="306">
        <f t="shared" ca="1" si="114"/>
        <v>-12.780991931553823</v>
      </c>
      <c r="AH259" s="304">
        <f t="shared" ca="1" si="115"/>
        <v>-3.4297113080756656</v>
      </c>
    </row>
    <row r="260" spans="1:34" x14ac:dyDescent="0.3">
      <c r="A260" s="347">
        <f t="shared" ca="1" si="93"/>
        <v>0.1</v>
      </c>
      <c r="B260" s="304">
        <f t="shared" ca="1" si="94"/>
        <v>7.5999999999999899</v>
      </c>
      <c r="D260" s="306">
        <f t="shared" ca="1" si="95"/>
        <v>-1.0174390794808246</v>
      </c>
      <c r="E260" s="307">
        <f t="shared" ca="1" si="96"/>
        <v>-12.983185618590369</v>
      </c>
      <c r="F260" s="304">
        <f t="shared" ca="1" si="97"/>
        <v>13.02299086566625</v>
      </c>
      <c r="G260" s="306">
        <f t="shared" ca="1" si="98"/>
        <v>27.629965556300721</v>
      </c>
      <c r="H260" s="307">
        <f t="shared" ca="1" si="99"/>
        <v>85.191244720675769</v>
      </c>
      <c r="I260" s="304">
        <f t="shared" ca="1" si="100"/>
        <v>89.559830134387994</v>
      </c>
      <c r="J260" s="306">
        <f t="shared" ca="1" si="101"/>
        <v>224.21479457676725</v>
      </c>
      <c r="K260" s="307">
        <f t="shared" ca="1" si="102"/>
        <v>953.28675694118658</v>
      </c>
      <c r="L260" s="304">
        <f t="shared" ref="L260:L323" ca="1" si="116">SQRT(pos_x^2+pos_z^2)</f>
        <v>979.29970645688798</v>
      </c>
      <c r="M260" s="306">
        <f t="shared" ca="1" si="103"/>
        <v>1.2571717163757807</v>
      </c>
      <c r="N260" s="304">
        <f t="shared" ca="1" si="104"/>
        <v>72.030633471550004</v>
      </c>
      <c r="P260" s="310">
        <f t="shared" ca="1" si="105"/>
        <v>23</v>
      </c>
      <c r="Q260" s="304">
        <f t="shared" ca="1" si="106"/>
        <v>0</v>
      </c>
      <c r="R260" s="306">
        <f t="shared" ca="1" si="107"/>
        <v>0</v>
      </c>
      <c r="S260" s="307">
        <f t="shared" ca="1" si="108"/>
        <v>8.5499999999999989</v>
      </c>
      <c r="T260" s="304">
        <f t="shared" ref="T260:T323" ca="1" si="117">m*g</f>
        <v>83.875499999999988</v>
      </c>
      <c r="U260" s="311">
        <f t="shared" ref="U260:U323" ca="1" si="118">IF(pos_xz&lt;L_rampe,Poids*COS(Beta),0)</f>
        <v>0</v>
      </c>
      <c r="V260" s="306">
        <f t="shared" ref="V260:V323" ca="1" si="119">Rho_moyen*(20000-Alt_rampe-pos_z)/(20000+Alt_rampe+pos_z)</f>
        <v>1.1135352650589669</v>
      </c>
      <c r="W260" s="304">
        <f t="shared" ref="W260:W323" ca="1" si="120">1/2*Rho*Sref*Cx*vit_xz^2</f>
        <v>27.678156394979915</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953.28675694118658</v>
      </c>
      <c r="AG260" s="306">
        <f t="shared" ca="1" si="114"/>
        <v>-12.673863317838602</v>
      </c>
      <c r="AH260" s="304">
        <f t="shared" ca="1" si="115"/>
        <v>-3.3323098971259459</v>
      </c>
    </row>
    <row r="261" spans="1:34" x14ac:dyDescent="0.3">
      <c r="A261" s="347">
        <f t="shared" ref="A261:A324" ca="1" si="122">IF(B260+0.01&lt;=T_ini+ROUNDUP(Temps_fin_propu,0), 0.01, IF(K260&gt;0, 0.1, 0.0001))</f>
        <v>0.1</v>
      </c>
      <c r="B261" s="304">
        <f t="shared" ref="B261:B324" ca="1" si="123">B260+pas</f>
        <v>7.6999999999999895</v>
      </c>
      <c r="D261" s="306">
        <f t="shared" ref="D261:D324" ca="1" si="124">IF(AND(L260&lt;L_rampe,Poussee&lt;Poids*SIN(M260)),0,(-W260+Poussee)/m*COS(M260)-U260/m*SIN(M260))</f>
        <v>-0.9987070751724505</v>
      </c>
      <c r="E261" s="307">
        <f t="shared" ref="E261:E324" ca="1" si="125">IF(AND(L260&lt;L_rampe,Poussee&lt;Poids*SIN(M260)),0,(-W260+Poussee)/m*SIN(M260)+U260/m*COS(M260)-Poids/m)</f>
        <v>-12.889305280780007</v>
      </c>
      <c r="F261" s="304">
        <f t="shared" ref="F261:F324" ca="1" si="126">SQRT(acc_x^2+acc_z^2)</f>
        <v>12.927938986673123</v>
      </c>
      <c r="G261" s="306">
        <f t="shared" ref="G261:G324" ca="1" si="127">G260+acc_x*pas</f>
        <v>27.530094848783477</v>
      </c>
      <c r="H261" s="307">
        <f t="shared" ref="H261:H324" ca="1" si="128">H260+acc_z*pas</f>
        <v>83.902314192597771</v>
      </c>
      <c r="I261" s="304">
        <f t="shared" ref="I261:I324" ca="1" si="129">SQRT(vit_x^2+vit_z^2)</f>
        <v>88.30347925906662</v>
      </c>
      <c r="J261" s="306">
        <f t="shared" ref="J261:J324" ca="1" si="130">J260+0.5*(vit_x+G260)*pas*(K260&gt;=0)</f>
        <v>226.97279759702147</v>
      </c>
      <c r="K261" s="307">
        <f t="shared" ref="K261:K324" ca="1" si="131">K260+0.5*(vit_z+H260)*pas</f>
        <v>961.74143488685024</v>
      </c>
      <c r="L261" s="304">
        <f t="shared" ca="1" si="116"/>
        <v>988.16154470169306</v>
      </c>
      <c r="M261" s="306">
        <f t="shared" ref="M261:M324" ca="1" si="132">IF(AND(L260&gt;L_rampe,G261&gt;0),ATAN2(G261,H261),$M$4)</f>
        <v>1.2537443611070229</v>
      </c>
      <c r="N261" s="304">
        <f t="shared" ref="N261:N324" ca="1" si="133">DEGREES(Beta)</f>
        <v>71.834260479758257</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8.5499999999999989</v>
      </c>
      <c r="T261" s="304">
        <f t="shared" ca="1" si="117"/>
        <v>83.875499999999988</v>
      </c>
      <c r="U261" s="311">
        <f t="shared" ca="1" si="118"/>
        <v>0</v>
      </c>
      <c r="V261" s="306">
        <f t="shared" ca="1" si="119"/>
        <v>1.1125920436862549</v>
      </c>
      <c r="W261" s="304">
        <f t="shared" ca="1" si="120"/>
        <v>26.884269621403295</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961.74143488685024</v>
      </c>
      <c r="AG261" s="306">
        <f t="shared" ref="AG261:AG324" ca="1" si="143">IF(AND(L260&lt;L_rampe,Poussee&lt;Poids*SIN(M260)),0,(-W260+Poussee)/m-Poids*SIN(M260)/m)</f>
        <v>-12.568695148854069</v>
      </c>
      <c r="AH261" s="304">
        <f t="shared" ref="AH261:AH324" ca="1" si="144">IF(AND(L260&lt;L_rampe,Poussee&lt;Poids*SIN(M260)), g*SIN(M260), (-W260+Poussee)/m)</f>
        <v>-3.2372112742666572</v>
      </c>
    </row>
    <row r="262" spans="1:34" x14ac:dyDescent="0.3">
      <c r="A262" s="347">
        <f t="shared" ca="1" si="122"/>
        <v>0.1</v>
      </c>
      <c r="B262" s="304">
        <f t="shared" ca="1" si="123"/>
        <v>7.7999999999999892</v>
      </c>
      <c r="D262" s="306">
        <f t="shared" ca="1" si="124"/>
        <v>-0.98030680995662323</v>
      </c>
      <c r="E262" s="307">
        <f t="shared" ca="1" si="125"/>
        <v>-12.797639905561692</v>
      </c>
      <c r="F262" s="304">
        <f t="shared" ca="1" si="126"/>
        <v>12.835131031433702</v>
      </c>
      <c r="G262" s="306">
        <f t="shared" ca="1" si="127"/>
        <v>27.432064167787814</v>
      </c>
      <c r="H262" s="307">
        <f t="shared" ca="1" si="128"/>
        <v>82.622550202041609</v>
      </c>
      <c r="I262" s="304">
        <f t="shared" ca="1" si="129"/>
        <v>87.057474959905164</v>
      </c>
      <c r="J262" s="306">
        <f t="shared" ca="1" si="130"/>
        <v>229.72090554785004</v>
      </c>
      <c r="K262" s="307">
        <f t="shared" ca="1" si="131"/>
        <v>970.06767810658221</v>
      </c>
      <c r="L262" s="304">
        <f t="shared" ca="1" si="116"/>
        <v>996.89668198505899</v>
      </c>
      <c r="M262" s="306">
        <f t="shared" ca="1" si="132"/>
        <v>1.2502312351077489</v>
      </c>
      <c r="N262" s="304">
        <f t="shared" ca="1" si="133"/>
        <v>71.632973187102166</v>
      </c>
      <c r="P262" s="310">
        <f t="shared" ca="1" si="134"/>
        <v>23</v>
      </c>
      <c r="Q262" s="304">
        <f t="shared" ca="1" si="135"/>
        <v>0</v>
      </c>
      <c r="R262" s="306">
        <f t="shared" ca="1" si="136"/>
        <v>0</v>
      </c>
      <c r="S262" s="307">
        <f t="shared" ca="1" si="137"/>
        <v>8.5499999999999989</v>
      </c>
      <c r="T262" s="304">
        <f t="shared" ca="1" si="117"/>
        <v>83.875499999999988</v>
      </c>
      <c r="U262" s="311">
        <f t="shared" ca="1" si="118"/>
        <v>0</v>
      </c>
      <c r="V262" s="306">
        <f t="shared" ca="1" si="119"/>
        <v>1.1116638940873598</v>
      </c>
      <c r="W262" s="304">
        <f t="shared" ca="1" si="120"/>
        <v>26.109123630769453</v>
      </c>
      <c r="Y262" s="314" t="str">
        <f t="shared" ca="1" si="138"/>
        <v/>
      </c>
      <c r="Z262" s="315" t="str">
        <f t="shared" ca="1" si="139"/>
        <v/>
      </c>
      <c r="AA262" s="316" t="str">
        <f t="shared" ca="1" si="140"/>
        <v/>
      </c>
      <c r="AC262" s="310" t="e">
        <f t="shared" ca="1" si="141"/>
        <v>#N/A</v>
      </c>
      <c r="AD262" s="323" t="e">
        <f t="shared" ca="1" si="142"/>
        <v>#N/A</v>
      </c>
      <c r="AE262" s="324">
        <f t="shared" ca="1" si="121"/>
        <v>970.06767810658221</v>
      </c>
      <c r="AG262" s="306">
        <f t="shared" ca="1" si="143"/>
        <v>-12.465415326499258</v>
      </c>
      <c r="AH262" s="304">
        <f t="shared" ca="1" si="144"/>
        <v>-3.1443590200471694</v>
      </c>
    </row>
    <row r="263" spans="1:34" x14ac:dyDescent="0.3">
      <c r="A263" s="347">
        <f t="shared" ca="1" si="122"/>
        <v>0.1</v>
      </c>
      <c r="B263" s="304">
        <f t="shared" ca="1" si="123"/>
        <v>7.8999999999999888</v>
      </c>
      <c r="D263" s="306">
        <f t="shared" ca="1" si="124"/>
        <v>-0.9622293537733565</v>
      </c>
      <c r="E263" s="307">
        <f t="shared" ca="1" si="125"/>
        <v>-12.708135648916004</v>
      </c>
      <c r="F263" s="304">
        <f t="shared" ca="1" si="126"/>
        <v>12.744512426943325</v>
      </c>
      <c r="G263" s="306">
        <f t="shared" ca="1" si="127"/>
        <v>27.335841232410477</v>
      </c>
      <c r="H263" s="307">
        <f t="shared" ca="1" si="128"/>
        <v>81.351736637150012</v>
      </c>
      <c r="I263" s="304">
        <f t="shared" ca="1" si="129"/>
        <v>85.821636373141757</v>
      </c>
      <c r="J263" s="306">
        <f t="shared" ca="1" si="130"/>
        <v>232.45930081785994</v>
      </c>
      <c r="K263" s="307">
        <f t="shared" ca="1" si="131"/>
        <v>978.26639244854175</v>
      </c>
      <c r="L263" s="304">
        <f t="shared" ca="1" si="116"/>
        <v>1005.5060721502444</v>
      </c>
      <c r="M263" s="306">
        <f t="shared" ca="1" si="132"/>
        <v>1.2466293854873636</v>
      </c>
      <c r="N263" s="304">
        <f t="shared" ca="1" si="133"/>
        <v>71.426602405413291</v>
      </c>
      <c r="P263" s="310">
        <f t="shared" ca="1" si="134"/>
        <v>23</v>
      </c>
      <c r="Q263" s="304">
        <f t="shared" ca="1" si="135"/>
        <v>0</v>
      </c>
      <c r="R263" s="306">
        <f t="shared" ca="1" si="136"/>
        <v>0</v>
      </c>
      <c r="S263" s="307">
        <f t="shared" ca="1" si="137"/>
        <v>8.5499999999999989</v>
      </c>
      <c r="T263" s="304">
        <f t="shared" ca="1" si="117"/>
        <v>83.875499999999988</v>
      </c>
      <c r="U263" s="311">
        <f t="shared" ca="1" si="118"/>
        <v>0</v>
      </c>
      <c r="V263" s="306">
        <f t="shared" ca="1" si="119"/>
        <v>1.1107506804107667</v>
      </c>
      <c r="W263" s="304">
        <f t="shared" ca="1" si="120"/>
        <v>25.352268816064885</v>
      </c>
      <c r="Y263" s="314" t="str">
        <f t="shared" ca="1" si="138"/>
        <v/>
      </c>
      <c r="Z263" s="315" t="str">
        <f t="shared" ca="1" si="139"/>
        <v/>
      </c>
      <c r="AA263" s="316" t="str">
        <f t="shared" ca="1" si="140"/>
        <v/>
      </c>
      <c r="AC263" s="310" t="e">
        <f t="shared" ca="1" si="141"/>
        <v>#N/A</v>
      </c>
      <c r="AD263" s="323" t="e">
        <f t="shared" ca="1" si="142"/>
        <v>#N/A</v>
      </c>
      <c r="AE263" s="324">
        <f t="shared" ca="1" si="121"/>
        <v>978.26639244854175</v>
      </c>
      <c r="AG263" s="306">
        <f t="shared" ca="1" si="143"/>
        <v>-12.363952819668702</v>
      </c>
      <c r="AH263" s="304">
        <f t="shared" ca="1" si="144"/>
        <v>-3.0536986702654336</v>
      </c>
    </row>
    <row r="264" spans="1:34" x14ac:dyDescent="0.3">
      <c r="A264" s="347">
        <f t="shared" ca="1" si="122"/>
        <v>0.1</v>
      </c>
      <c r="B264" s="304">
        <f t="shared" ca="1" si="123"/>
        <v>7.9999999999999885</v>
      </c>
      <c r="D264" s="306">
        <f t="shared" ca="1" si="124"/>
        <v>-0.94446608803330501</v>
      </c>
      <c r="E264" s="307">
        <f t="shared" ca="1" si="125"/>
        <v>-12.620740514738845</v>
      </c>
      <c r="F264" s="304">
        <f t="shared" ca="1" si="126"/>
        <v>12.656030472933267</v>
      </c>
      <c r="G264" s="306">
        <f t="shared" ca="1" si="127"/>
        <v>27.241394623607146</v>
      </c>
      <c r="H264" s="307">
        <f t="shared" ca="1" si="128"/>
        <v>80.089662585676123</v>
      </c>
      <c r="I264" s="304">
        <f t="shared" ca="1" si="129"/>
        <v>84.595789695034711</v>
      </c>
      <c r="J264" s="306">
        <f t="shared" ca="1" si="130"/>
        <v>235.18816261066081</v>
      </c>
      <c r="K264" s="307">
        <f t="shared" ca="1" si="131"/>
        <v>986.33846240968307</v>
      </c>
      <c r="L264" s="304">
        <f t="shared" ca="1" si="116"/>
        <v>1013.9906480145054</v>
      </c>
      <c r="M264" s="306">
        <f t="shared" ca="1" si="132"/>
        <v>1.2429357256396942</v>
      </c>
      <c r="N264" s="304">
        <f t="shared" ca="1" si="133"/>
        <v>71.214971285184902</v>
      </c>
      <c r="P264" s="310">
        <f t="shared" ca="1" si="134"/>
        <v>23</v>
      </c>
      <c r="Q264" s="304">
        <f t="shared" ca="1" si="135"/>
        <v>0</v>
      </c>
      <c r="R264" s="306">
        <f t="shared" ca="1" si="136"/>
        <v>0</v>
      </c>
      <c r="S264" s="307">
        <f t="shared" ca="1" si="137"/>
        <v>8.5499999999999989</v>
      </c>
      <c r="T264" s="304">
        <f t="shared" ca="1" si="117"/>
        <v>83.875499999999988</v>
      </c>
      <c r="U264" s="311">
        <f t="shared" ca="1" si="118"/>
        <v>0</v>
      </c>
      <c r="V264" s="306">
        <f t="shared" ca="1" si="119"/>
        <v>1.1098522700978943</v>
      </c>
      <c r="W264" s="304">
        <f t="shared" ca="1" si="120"/>
        <v>24.613271007459748</v>
      </c>
      <c r="Y264" s="314" t="str">
        <f t="shared" ca="1" si="138"/>
        <v/>
      </c>
      <c r="Z264" s="315" t="str">
        <f t="shared" ca="1" si="139"/>
        <v/>
      </c>
      <c r="AA264" s="316" t="str">
        <f t="shared" ca="1" si="140"/>
        <v/>
      </c>
      <c r="AC264" s="310">
        <f t="shared" ca="1" si="141"/>
        <v>7.9999999999999885</v>
      </c>
      <c r="AD264" s="323">
        <f t="shared" ca="1" si="142"/>
        <v>235.18816261066081</v>
      </c>
      <c r="AE264" s="324">
        <f t="shared" ca="1" si="121"/>
        <v>986.33846240968307</v>
      </c>
      <c r="AG264" s="306">
        <f t="shared" ca="1" si="143"/>
        <v>-12.264237528359617</v>
      </c>
      <c r="AH264" s="304">
        <f t="shared" ca="1" si="144"/>
        <v>-2.9651776393058351</v>
      </c>
    </row>
    <row r="265" spans="1:34" x14ac:dyDescent="0.3">
      <c r="A265" s="347">
        <f t="shared" ca="1" si="122"/>
        <v>0.1</v>
      </c>
      <c r="B265" s="304">
        <f t="shared" ca="1" si="123"/>
        <v>8.099999999999989</v>
      </c>
      <c r="D265" s="306">
        <f t="shared" ca="1" si="124"/>
        <v>-0.92700869458006319</v>
      </c>
      <c r="E265" s="307">
        <f t="shared" ca="1" si="125"/>
        <v>-12.535404282296412</v>
      </c>
      <c r="F265" s="304">
        <f t="shared" ca="1" si="126"/>
        <v>12.569634268364464</v>
      </c>
      <c r="G265" s="306">
        <f t="shared" ca="1" si="127"/>
        <v>27.148693754149139</v>
      </c>
      <c r="H265" s="307">
        <f t="shared" ca="1" si="128"/>
        <v>78.836122157446482</v>
      </c>
      <c r="I265" s="304">
        <f t="shared" ca="1" si="129"/>
        <v>83.379768105820489</v>
      </c>
      <c r="J265" s="306">
        <f t="shared" ca="1" si="130"/>
        <v>237.90766702954863</v>
      </c>
      <c r="K265" s="307">
        <f t="shared" ca="1" si="131"/>
        <v>994.28475164683925</v>
      </c>
      <c r="L265" s="304">
        <f t="shared" ca="1" si="116"/>
        <v>1022.3513218991109</v>
      </c>
      <c r="M265" s="306">
        <f t="shared" ca="1" si="132"/>
        <v>1.2391470279593051</v>
      </c>
      <c r="N265" s="304">
        <f t="shared" ca="1" si="133"/>
        <v>70.997894898247594</v>
      </c>
      <c r="P265" s="310">
        <f t="shared" ca="1" si="134"/>
        <v>23</v>
      </c>
      <c r="Q265" s="304">
        <f t="shared" ca="1" si="135"/>
        <v>0</v>
      </c>
      <c r="R265" s="306">
        <f t="shared" ca="1" si="136"/>
        <v>0</v>
      </c>
      <c r="S265" s="307">
        <f t="shared" ca="1" si="137"/>
        <v>8.5499999999999989</v>
      </c>
      <c r="T265" s="304">
        <f t="shared" ca="1" si="117"/>
        <v>83.875499999999988</v>
      </c>
      <c r="U265" s="311">
        <f t="shared" ca="1" si="118"/>
        <v>0</v>
      </c>
      <c r="V265" s="306">
        <f t="shared" ca="1" si="119"/>
        <v>1.1089685338009112</v>
      </c>
      <c r="W265" s="304">
        <f t="shared" ca="1" si="120"/>
        <v>23.891710876687181</v>
      </c>
      <c r="Y265" s="314" t="str">
        <f t="shared" ca="1" si="138"/>
        <v/>
      </c>
      <c r="Z265" s="315" t="str">
        <f t="shared" ca="1" si="139"/>
        <v/>
      </c>
      <c r="AA265" s="316" t="str">
        <f t="shared" ca="1" si="140"/>
        <v/>
      </c>
      <c r="AC265" s="310" t="e">
        <f t="shared" ca="1" si="141"/>
        <v>#N/A</v>
      </c>
      <c r="AD265" s="323" t="e">
        <f t="shared" ca="1" si="142"/>
        <v>#N/A</v>
      </c>
      <c r="AE265" s="324">
        <f t="shared" ca="1" si="121"/>
        <v>994.28475164683925</v>
      </c>
      <c r="AG265" s="306">
        <f t="shared" ca="1" si="143"/>
        <v>-12.1662001468749</v>
      </c>
      <c r="AH265" s="304">
        <f t="shared" ca="1" si="144"/>
        <v>-2.8787451470713159</v>
      </c>
    </row>
    <row r="266" spans="1:34" x14ac:dyDescent="0.3">
      <c r="A266" s="347">
        <f t="shared" ca="1" si="122"/>
        <v>0.1</v>
      </c>
      <c r="B266" s="304">
        <f t="shared" ca="1" si="123"/>
        <v>8.1999999999999886</v>
      </c>
      <c r="D266" s="306">
        <f t="shared" ca="1" si="124"/>
        <v>-0.90984914526099625</v>
      </c>
      <c r="E266" s="307">
        <f t="shared" ca="1" si="125"/>
        <v>-12.452078437003323</v>
      </c>
      <c r="F266" s="304">
        <f t="shared" ca="1" si="126"/>
        <v>12.485274641289044</v>
      </c>
      <c r="G266" s="306">
        <f t="shared" ca="1" si="127"/>
        <v>27.057708839623039</v>
      </c>
      <c r="H266" s="307">
        <f t="shared" ca="1" si="128"/>
        <v>77.590914313746154</v>
      </c>
      <c r="I266" s="304">
        <f t="shared" ca="1" si="129"/>
        <v>82.1734117077593</v>
      </c>
      <c r="J266" s="306">
        <f t="shared" ca="1" si="130"/>
        <v>240.61798715923723</v>
      </c>
      <c r="K266" s="307">
        <f t="shared" ca="1" si="131"/>
        <v>1002.1061034703989</v>
      </c>
      <c r="L266" s="304">
        <f t="shared" ca="1" si="116"/>
        <v>1030.5889861419967</v>
      </c>
      <c r="M266" s="306">
        <f t="shared" ca="1" si="132"/>
        <v>1.2352599161033042</v>
      </c>
      <c r="N266" s="304">
        <f t="shared" ca="1" si="133"/>
        <v>70.775179794403485</v>
      </c>
      <c r="P266" s="310">
        <f t="shared" ca="1" si="134"/>
        <v>23</v>
      </c>
      <c r="Q266" s="304">
        <f t="shared" ca="1" si="135"/>
        <v>0</v>
      </c>
      <c r="R266" s="306">
        <f t="shared" ca="1" si="136"/>
        <v>0</v>
      </c>
      <c r="S266" s="307">
        <f t="shared" ca="1" si="137"/>
        <v>8.5499999999999989</v>
      </c>
      <c r="T266" s="304">
        <f t="shared" ca="1" si="117"/>
        <v>83.875499999999988</v>
      </c>
      <c r="U266" s="311">
        <f t="shared" ca="1" si="118"/>
        <v>0</v>
      </c>
      <c r="V266" s="306">
        <f t="shared" ca="1" si="119"/>
        <v>1.1080993453034318</v>
      </c>
      <c r="W266" s="304">
        <f t="shared" ca="1" si="120"/>
        <v>23.187183369007137</v>
      </c>
      <c r="Y266" s="314" t="str">
        <f t="shared" ca="1" si="138"/>
        <v/>
      </c>
      <c r="Z266" s="315" t="str">
        <f t="shared" ca="1" si="139"/>
        <v/>
      </c>
      <c r="AA266" s="316" t="str">
        <f t="shared" ca="1" si="140"/>
        <v/>
      </c>
      <c r="AC266" s="310" t="e">
        <f t="shared" ca="1" si="141"/>
        <v>#N/A</v>
      </c>
      <c r="AD266" s="323" t="e">
        <f t="shared" ca="1" si="142"/>
        <v>#N/A</v>
      </c>
      <c r="AE266" s="324">
        <f t="shared" ca="1" si="121"/>
        <v>1002.1061034703989</v>
      </c>
      <c r="AG266" s="306">
        <f t="shared" ca="1" si="143"/>
        <v>-12.069772025554629</v>
      </c>
      <c r="AH266" s="304">
        <f t="shared" ca="1" si="144"/>
        <v>-2.7943521493201384</v>
      </c>
    </row>
    <row r="267" spans="1:34" x14ac:dyDescent="0.3">
      <c r="A267" s="347">
        <f t="shared" ca="1" si="122"/>
        <v>0.1</v>
      </c>
      <c r="B267" s="304">
        <f t="shared" ca="1" si="123"/>
        <v>8.2999999999999883</v>
      </c>
      <c r="D267" s="306">
        <f t="shared" ca="1" si="124"/>
        <v>-0.89297969208242556</v>
      </c>
      <c r="E267" s="307">
        <f t="shared" ca="1" si="125"/>
        <v>-12.370716104344339</v>
      </c>
      <c r="F267" s="304">
        <f t="shared" ca="1" si="126"/>
        <v>12.402904081897756</v>
      </c>
      <c r="G267" s="306">
        <f t="shared" ca="1" si="127"/>
        <v>26.968410870414797</v>
      </c>
      <c r="H267" s="307">
        <f t="shared" ca="1" si="128"/>
        <v>76.353842703311727</v>
      </c>
      <c r="I267" s="304">
        <f t="shared" ca="1" si="129"/>
        <v>80.976567477496701</v>
      </c>
      <c r="J267" s="306">
        <f t="shared" ca="1" si="130"/>
        <v>243.31929314473913</v>
      </c>
      <c r="K267" s="307">
        <f t="shared" ca="1" si="131"/>
        <v>1009.8033413212518</v>
      </c>
      <c r="L267" s="304">
        <f t="shared" ca="1" si="116"/>
        <v>1038.7045135937458</v>
      </c>
      <c r="M267" s="306">
        <f t="shared" ca="1" si="132"/>
        <v>1.2312708567678847</v>
      </c>
      <c r="N267" s="304">
        <f t="shared" ca="1" si="133"/>
        <v>70.546623530256696</v>
      </c>
      <c r="P267" s="310">
        <f t="shared" ca="1" si="134"/>
        <v>23</v>
      </c>
      <c r="Q267" s="304">
        <f t="shared" ca="1" si="135"/>
        <v>0</v>
      </c>
      <c r="R267" s="306">
        <f t="shared" ca="1" si="136"/>
        <v>0</v>
      </c>
      <c r="S267" s="307">
        <f t="shared" ca="1" si="137"/>
        <v>8.5499999999999989</v>
      </c>
      <c r="T267" s="304">
        <f t="shared" ca="1" si="117"/>
        <v>83.875499999999988</v>
      </c>
      <c r="U267" s="311">
        <f t="shared" ca="1" si="118"/>
        <v>0</v>
      </c>
      <c r="V267" s="306">
        <f t="shared" ca="1" si="119"/>
        <v>1.1072445814439749</v>
      </c>
      <c r="W267" s="304">
        <f t="shared" ca="1" si="120"/>
        <v>22.499297161319689</v>
      </c>
      <c r="Y267" s="314" t="str">
        <f t="shared" ca="1" si="138"/>
        <v/>
      </c>
      <c r="Z267" s="315" t="str">
        <f t="shared" ca="1" si="139"/>
        <v/>
      </c>
      <c r="AA267" s="316" t="str">
        <f t="shared" ca="1" si="140"/>
        <v/>
      </c>
      <c r="AC267" s="310" t="e">
        <f t="shared" ca="1" si="141"/>
        <v>#N/A</v>
      </c>
      <c r="AD267" s="323" t="e">
        <f t="shared" ca="1" si="142"/>
        <v>#N/A</v>
      </c>
      <c r="AE267" s="324">
        <f t="shared" ca="1" si="121"/>
        <v>1009.8033413212518</v>
      </c>
      <c r="AG267" s="306">
        <f t="shared" ca="1" si="143"/>
        <v>-11.974885030446011</v>
      </c>
      <c r="AH267" s="304">
        <f t="shared" ca="1" si="144"/>
        <v>-2.7119512712289051</v>
      </c>
    </row>
    <row r="268" spans="1:34" x14ac:dyDescent="0.3">
      <c r="A268" s="347">
        <f t="shared" ca="1" si="122"/>
        <v>0.1</v>
      </c>
      <c r="B268" s="304">
        <f t="shared" ca="1" si="123"/>
        <v>8.3999999999999879</v>
      </c>
      <c r="D268" s="306">
        <f t="shared" ca="1" si="124"/>
        <v>-0.87639285792707866</v>
      </c>
      <c r="E268" s="307">
        <f t="shared" ca="1" si="125"/>
        <v>-12.29127198677023</v>
      </c>
      <c r="F268" s="304">
        <f t="shared" ca="1" si="126"/>
        <v>12.322476678581632</v>
      </c>
      <c r="G268" s="306">
        <f t="shared" ca="1" si="127"/>
        <v>26.880771584622089</v>
      </c>
      <c r="H268" s="307">
        <f t="shared" ca="1" si="128"/>
        <v>75.124715504634707</v>
      </c>
      <c r="I268" s="304">
        <f t="shared" ca="1" si="129"/>
        <v>79.789089233033167</v>
      </c>
      <c r="J268" s="306">
        <f t="shared" ca="1" si="130"/>
        <v>246.01175226749098</v>
      </c>
      <c r="K268" s="307">
        <f t="shared" ca="1" si="131"/>
        <v>1017.3772692316491</v>
      </c>
      <c r="L268" s="304">
        <f t="shared" ca="1" si="116"/>
        <v>1046.6987580975574</v>
      </c>
      <c r="M268" s="306">
        <f t="shared" ca="1" si="132"/>
        <v>1.2271761509467456</v>
      </c>
      <c r="N268" s="304">
        <f t="shared" ca="1" si="133"/>
        <v>70.312014168357763</v>
      </c>
      <c r="P268" s="310">
        <f t="shared" ca="1" si="134"/>
        <v>23</v>
      </c>
      <c r="Q268" s="304">
        <f t="shared" ca="1" si="135"/>
        <v>0</v>
      </c>
      <c r="R268" s="306">
        <f t="shared" ca="1" si="136"/>
        <v>0</v>
      </c>
      <c r="S268" s="307">
        <f t="shared" ca="1" si="137"/>
        <v>8.5499999999999989</v>
      </c>
      <c r="T268" s="304">
        <f t="shared" ca="1" si="117"/>
        <v>83.875499999999988</v>
      </c>
      <c r="U268" s="311">
        <f t="shared" ca="1" si="118"/>
        <v>0</v>
      </c>
      <c r="V268" s="306">
        <f t="shared" ca="1" si="119"/>
        <v>1.1064041220420715</v>
      </c>
      <c r="W268" s="304">
        <f t="shared" ca="1" si="120"/>
        <v>21.827674145076401</v>
      </c>
      <c r="Y268" s="314" t="str">
        <f t="shared" ca="1" si="138"/>
        <v/>
      </c>
      <c r="Z268" s="315" t="str">
        <f t="shared" ca="1" si="139"/>
        <v/>
      </c>
      <c r="AA268" s="316" t="str">
        <f t="shared" ca="1" si="140"/>
        <v/>
      </c>
      <c r="AC268" s="310" t="e">
        <f t="shared" ca="1" si="141"/>
        <v>#N/A</v>
      </c>
      <c r="AD268" s="323" t="e">
        <f t="shared" ca="1" si="142"/>
        <v>#N/A</v>
      </c>
      <c r="AE268" s="324">
        <f t="shared" ca="1" si="121"/>
        <v>1017.3772692316491</v>
      </c>
      <c r="AG268" s="306">
        <f t="shared" ca="1" si="143"/>
        <v>-11.881471400295187</v>
      </c>
      <c r="AH268" s="304">
        <f t="shared" ca="1" si="144"/>
        <v>-2.6314967440139991</v>
      </c>
    </row>
    <row r="269" spans="1:34" x14ac:dyDescent="0.3">
      <c r="A269" s="347">
        <f t="shared" ca="1" si="122"/>
        <v>0.1</v>
      </c>
      <c r="B269" s="304">
        <f t="shared" ca="1" si="123"/>
        <v>8.4999999999999876</v>
      </c>
      <c r="D269" s="306">
        <f t="shared" ca="1" si="124"/>
        <v>-0.86008142781372798</v>
      </c>
      <c r="E269" s="307">
        <f t="shared" ca="1" si="125"/>
        <v>-12.213702303407477</v>
      </c>
      <c r="F269" s="304">
        <f t="shared" ca="1" si="126"/>
        <v>12.243948056845522</v>
      </c>
      <c r="G269" s="306">
        <f t="shared" ca="1" si="127"/>
        <v>26.794763441840715</v>
      </c>
      <c r="H269" s="307">
        <f t="shared" ca="1" si="128"/>
        <v>73.903345274293955</v>
      </c>
      <c r="I269" s="304">
        <f t="shared" ca="1" si="129"/>
        <v>78.610837615660287</v>
      </c>
      <c r="J269" s="306">
        <f t="shared" ca="1" si="130"/>
        <v>248.69552901881411</v>
      </c>
      <c r="K269" s="307">
        <f t="shared" ca="1" si="131"/>
        <v>1024.8286722705955</v>
      </c>
      <c r="L269" s="304">
        <f t="shared" ca="1" si="116"/>
        <v>1054.5725549538349</v>
      </c>
      <c r="M269" s="306">
        <f t="shared" ca="1" si="132"/>
        <v>1.2229719246363311</v>
      </c>
      <c r="N269" s="304">
        <f t="shared" ca="1" si="133"/>
        <v>70.071129744653163</v>
      </c>
      <c r="P269" s="310">
        <f t="shared" ca="1" si="134"/>
        <v>23</v>
      </c>
      <c r="Q269" s="304">
        <f t="shared" ca="1" si="135"/>
        <v>0</v>
      </c>
      <c r="R269" s="306">
        <f t="shared" ca="1" si="136"/>
        <v>0</v>
      </c>
      <c r="S269" s="307">
        <f t="shared" ca="1" si="137"/>
        <v>8.5499999999999989</v>
      </c>
      <c r="T269" s="304">
        <f t="shared" ca="1" si="117"/>
        <v>83.875499999999988</v>
      </c>
      <c r="U269" s="311">
        <f t="shared" ca="1" si="118"/>
        <v>0</v>
      </c>
      <c r="V269" s="306">
        <f t="shared" ca="1" si="119"/>
        <v>1.1055778498269304</v>
      </c>
      <c r="W269" s="304">
        <f t="shared" ca="1" si="120"/>
        <v>21.171948932717388</v>
      </c>
      <c r="Y269" s="314" t="str">
        <f t="shared" ca="1" si="138"/>
        <v/>
      </c>
      <c r="Z269" s="315" t="str">
        <f t="shared" ca="1" si="139"/>
        <v/>
      </c>
      <c r="AA269" s="316" t="str">
        <f t="shared" ca="1" si="140"/>
        <v/>
      </c>
      <c r="AC269" s="310" t="e">
        <f t="shared" ca="1" si="141"/>
        <v>#N/A</v>
      </c>
      <c r="AD269" s="323" t="e">
        <f t="shared" ca="1" si="142"/>
        <v>#N/A</v>
      </c>
      <c r="AE269" s="324">
        <f t="shared" ca="1" si="121"/>
        <v>1024.8286722705955</v>
      </c>
      <c r="AG269" s="306">
        <f t="shared" ca="1" si="143"/>
        <v>-11.789463600213416</v>
      </c>
      <c r="AH269" s="304">
        <f t="shared" ca="1" si="144"/>
        <v>-2.5529443444533806</v>
      </c>
    </row>
    <row r="270" spans="1:34" x14ac:dyDescent="0.3">
      <c r="A270" s="347">
        <f t="shared" ca="1" si="122"/>
        <v>0.1</v>
      </c>
      <c r="B270" s="304">
        <f t="shared" ca="1" si="123"/>
        <v>8.5999999999999872</v>
      </c>
      <c r="D270" s="306">
        <f t="shared" ca="1" si="124"/>
        <v>-0.84403844068090883</v>
      </c>
      <c r="E270" s="307">
        <f t="shared" ca="1" si="125"/>
        <v>-12.1379647324303</v>
      </c>
      <c r="F270" s="304">
        <f t="shared" ca="1" si="126"/>
        <v>12.167275320919996</v>
      </c>
      <c r="G270" s="306">
        <f t="shared" ca="1" si="127"/>
        <v>26.710359597772623</v>
      </c>
      <c r="H270" s="307">
        <f t="shared" ca="1" si="128"/>
        <v>72.689548801050918</v>
      </c>
      <c r="I270" s="304">
        <f t="shared" ca="1" si="129"/>
        <v>77.441680087293349</v>
      </c>
      <c r="J270" s="306">
        <f t="shared" ca="1" si="130"/>
        <v>251.37078517079479</v>
      </c>
      <c r="K270" s="307">
        <f t="shared" ca="1" si="131"/>
        <v>1032.1583169743626</v>
      </c>
      <c r="L270" s="304">
        <f t="shared" ca="1" si="116"/>
        <v>1062.3267213699985</v>
      </c>
      <c r="M270" s="306">
        <f t="shared" ca="1" si="132"/>
        <v>1.2186541189504942</v>
      </c>
      <c r="N270" s="304">
        <f t="shared" ca="1" si="133"/>
        <v>69.823737702097119</v>
      </c>
      <c r="P270" s="310">
        <f t="shared" ca="1" si="134"/>
        <v>23</v>
      </c>
      <c r="Q270" s="304">
        <f t="shared" ca="1" si="135"/>
        <v>0</v>
      </c>
      <c r="R270" s="306">
        <f t="shared" ca="1" si="136"/>
        <v>0</v>
      </c>
      <c r="S270" s="307">
        <f t="shared" ca="1" si="137"/>
        <v>8.5499999999999989</v>
      </c>
      <c r="T270" s="304">
        <f t="shared" ca="1" si="117"/>
        <v>83.875499999999988</v>
      </c>
      <c r="U270" s="311">
        <f t="shared" ca="1" si="118"/>
        <v>0</v>
      </c>
      <c r="V270" s="306">
        <f t="shared" ca="1" si="119"/>
        <v>1.1047656503685463</v>
      </c>
      <c r="W270" s="304">
        <f t="shared" ca="1" si="120"/>
        <v>20.531768386434745</v>
      </c>
      <c r="Y270" s="314" t="str">
        <f t="shared" ca="1" si="138"/>
        <v/>
      </c>
      <c r="Z270" s="315" t="str">
        <f t="shared" ca="1" si="139"/>
        <v/>
      </c>
      <c r="AA270" s="316" t="str">
        <f t="shared" ca="1" si="140"/>
        <v/>
      </c>
      <c r="AC270" s="310" t="e">
        <f t="shared" ca="1" si="141"/>
        <v>#N/A</v>
      </c>
      <c r="AD270" s="323" t="e">
        <f t="shared" ca="1" si="142"/>
        <v>#N/A</v>
      </c>
      <c r="AE270" s="324">
        <f t="shared" ca="1" si="121"/>
        <v>1032.1583169743626</v>
      </c>
      <c r="AG270" s="306">
        <f t="shared" ca="1" si="143"/>
        <v>-11.698794171335201</v>
      </c>
      <c r="AH270" s="304">
        <f t="shared" ca="1" si="144"/>
        <v>-2.4762513371599288</v>
      </c>
    </row>
    <row r="271" spans="1:34" x14ac:dyDescent="0.3">
      <c r="A271" s="347">
        <f t="shared" ca="1" si="122"/>
        <v>0.1</v>
      </c>
      <c r="B271" s="304">
        <f t="shared" ca="1" si="123"/>
        <v>8.6999999999999869</v>
      </c>
      <c r="D271" s="306">
        <f t="shared" ca="1" si="124"/>
        <v>-0.82825718167850415</v>
      </c>
      <c r="E271" s="307">
        <f t="shared" ca="1" si="125"/>
        <v>-12.06401835595134</v>
      </c>
      <c r="F271" s="304">
        <f t="shared" ca="1" si="126"/>
        <v>12.092416997926135</v>
      </c>
      <c r="G271" s="306">
        <f t="shared" ca="1" si="127"/>
        <v>26.627533879604773</v>
      </c>
      <c r="H271" s="307">
        <f t="shared" ca="1" si="128"/>
        <v>71.483146965455788</v>
      </c>
      <c r="I271" s="304">
        <f t="shared" ca="1" si="129"/>
        <v>76.28149094370437</v>
      </c>
      <c r="J271" s="306">
        <f t="shared" ca="1" si="130"/>
        <v>254.03767984466367</v>
      </c>
      <c r="K271" s="307">
        <f t="shared" ca="1" si="131"/>
        <v>1039.3669517626879</v>
      </c>
      <c r="L271" s="304">
        <f t="shared" ca="1" si="116"/>
        <v>1069.9620568960945</v>
      </c>
      <c r="M271" s="306">
        <f t="shared" ca="1" si="132"/>
        <v>1.2142184796047557</v>
      </c>
      <c r="N271" s="304">
        <f t="shared" ca="1" si="133"/>
        <v>69.569594288144131</v>
      </c>
      <c r="P271" s="310">
        <f t="shared" ca="1" si="134"/>
        <v>23</v>
      </c>
      <c r="Q271" s="304">
        <f t="shared" ca="1" si="135"/>
        <v>0</v>
      </c>
      <c r="R271" s="306">
        <f t="shared" ca="1" si="136"/>
        <v>0</v>
      </c>
      <c r="S271" s="307">
        <f t="shared" ca="1" si="137"/>
        <v>8.5499999999999989</v>
      </c>
      <c r="T271" s="304">
        <f t="shared" ca="1" si="117"/>
        <v>83.875499999999988</v>
      </c>
      <c r="U271" s="311">
        <f t="shared" ca="1" si="118"/>
        <v>0</v>
      </c>
      <c r="V271" s="306">
        <f t="shared" ca="1" si="119"/>
        <v>1.1039674120111662</v>
      </c>
      <c r="W271" s="304">
        <f t="shared" ca="1" si="120"/>
        <v>19.906791168132106</v>
      </c>
      <c r="Y271" s="314" t="str">
        <f t="shared" ca="1" si="138"/>
        <v/>
      </c>
      <c r="Z271" s="315" t="str">
        <f t="shared" ca="1" si="139"/>
        <v/>
      </c>
      <c r="AA271" s="316" t="str">
        <f t="shared" ca="1" si="140"/>
        <v/>
      </c>
      <c r="AC271" s="310" t="e">
        <f t="shared" ca="1" si="141"/>
        <v>#N/A</v>
      </c>
      <c r="AD271" s="323" t="e">
        <f t="shared" ca="1" si="142"/>
        <v>#N/A</v>
      </c>
      <c r="AE271" s="324">
        <f t="shared" ca="1" si="121"/>
        <v>1039.3669517626879</v>
      </c>
      <c r="AG271" s="306">
        <f t="shared" ca="1" si="143"/>
        <v>-11.609395575746115</v>
      </c>
      <c r="AH271" s="304">
        <f t="shared" ca="1" si="144"/>
        <v>-2.4013764194660525</v>
      </c>
    </row>
    <row r="272" spans="1:34" x14ac:dyDescent="0.3">
      <c r="A272" s="347">
        <f t="shared" ca="1" si="122"/>
        <v>0.1</v>
      </c>
      <c r="B272" s="304">
        <f t="shared" ca="1" si="123"/>
        <v>8.7999999999999865</v>
      </c>
      <c r="D272" s="306">
        <f t="shared" ca="1" si="124"/>
        <v>-0.81273117495283609</v>
      </c>
      <c r="E272" s="307">
        <f t="shared" ca="1" si="125"/>
        <v>-11.991823607294702</v>
      </c>
      <c r="F272" s="304">
        <f t="shared" ca="1" si="126"/>
        <v>12.019332984455115</v>
      </c>
      <c r="G272" s="306">
        <f t="shared" ca="1" si="127"/>
        <v>26.54626076210949</v>
      </c>
      <c r="H272" s="307">
        <f t="shared" ca="1" si="128"/>
        <v>70.283964604726322</v>
      </c>
      <c r="I272" s="304">
        <f t="shared" ca="1" si="129"/>
        <v>75.130151344239536</v>
      </c>
      <c r="J272" s="306">
        <f t="shared" ca="1" si="130"/>
        <v>256.69636957674936</v>
      </c>
      <c r="K272" s="307">
        <f t="shared" ca="1" si="131"/>
        <v>1046.4553073411971</v>
      </c>
      <c r="L272" s="304">
        <f t="shared" ca="1" si="116"/>
        <v>1077.4793438467591</v>
      </c>
      <c r="M272" s="306">
        <f t="shared" ca="1" si="132"/>
        <v>1.2096605457277696</v>
      </c>
      <c r="N272" s="304">
        <f t="shared" ca="1" si="133"/>
        <v>69.308443913693125</v>
      </c>
      <c r="P272" s="310">
        <f t="shared" ca="1" si="134"/>
        <v>23</v>
      </c>
      <c r="Q272" s="304">
        <f t="shared" ca="1" si="135"/>
        <v>0</v>
      </c>
      <c r="R272" s="306">
        <f t="shared" ca="1" si="136"/>
        <v>0</v>
      </c>
      <c r="S272" s="307">
        <f t="shared" ca="1" si="137"/>
        <v>8.5499999999999989</v>
      </c>
      <c r="T272" s="304">
        <f t="shared" ca="1" si="117"/>
        <v>83.875499999999988</v>
      </c>
      <c r="U272" s="311">
        <f t="shared" ca="1" si="118"/>
        <v>0</v>
      </c>
      <c r="V272" s="306">
        <f t="shared" ca="1" si="119"/>
        <v>1.1031830258090234</v>
      </c>
      <c r="W272" s="304">
        <f t="shared" ca="1" si="120"/>
        <v>19.296687309514564</v>
      </c>
      <c r="Y272" s="314" t="str">
        <f t="shared" ca="1" si="138"/>
        <v/>
      </c>
      <c r="Z272" s="315" t="str">
        <f t="shared" ca="1" si="139"/>
        <v/>
      </c>
      <c r="AA272" s="316" t="str">
        <f t="shared" ca="1" si="140"/>
        <v/>
      </c>
      <c r="AC272" s="310" t="e">
        <f t="shared" ca="1" si="141"/>
        <v>#N/A</v>
      </c>
      <c r="AD272" s="323" t="e">
        <f t="shared" ca="1" si="142"/>
        <v>#N/A</v>
      </c>
      <c r="AE272" s="324">
        <f t="shared" ca="1" si="121"/>
        <v>1046.4553073411971</v>
      </c>
      <c r="AG272" s="306">
        <f t="shared" ca="1" si="143"/>
        <v>-11.521200035913433</v>
      </c>
      <c r="AH272" s="304">
        <f t="shared" ca="1" si="144"/>
        <v>-2.3282796687873812</v>
      </c>
    </row>
    <row r="273" spans="1:34" x14ac:dyDescent="0.3">
      <c r="A273" s="347">
        <f t="shared" ca="1" si="122"/>
        <v>0.1</v>
      </c>
      <c r="B273" s="304">
        <f t="shared" ca="1" si="123"/>
        <v>8.8999999999999861</v>
      </c>
      <c r="D273" s="306">
        <f t="shared" ca="1" si="124"/>
        <v>-0.79745417691275433</v>
      </c>
      <c r="E273" s="307">
        <f t="shared" ca="1" si="125"/>
        <v>-11.921342220521959</v>
      </c>
      <c r="F273" s="304">
        <f t="shared" ca="1" si="126"/>
        <v>11.947984495431648</v>
      </c>
      <c r="G273" s="306">
        <f t="shared" ca="1" si="127"/>
        <v>26.466515344418216</v>
      </c>
      <c r="H273" s="307">
        <f t="shared" ca="1" si="128"/>
        <v>69.091830382674132</v>
      </c>
      <c r="I273" s="304">
        <f t="shared" ca="1" si="129"/>
        <v>73.987549358689648</v>
      </c>
      <c r="J273" s="306">
        <f t="shared" ca="1" si="130"/>
        <v>259.34700838207573</v>
      </c>
      <c r="K273" s="307">
        <f t="shared" ca="1" si="131"/>
        <v>1053.4240970905671</v>
      </c>
      <c r="L273" s="304">
        <f t="shared" ca="1" si="116"/>
        <v>1084.8793477100617</v>
      </c>
      <c r="M273" s="306">
        <f t="shared" ca="1" si="132"/>
        <v>1.2049756379549628</v>
      </c>
      <c r="N273" s="304">
        <f t="shared" ca="1" si="133"/>
        <v>69.040018470903263</v>
      </c>
      <c r="P273" s="310">
        <f t="shared" ca="1" si="134"/>
        <v>23</v>
      </c>
      <c r="Q273" s="304">
        <f t="shared" ca="1" si="135"/>
        <v>0</v>
      </c>
      <c r="R273" s="306">
        <f t="shared" ca="1" si="136"/>
        <v>0</v>
      </c>
      <c r="S273" s="307">
        <f t="shared" ca="1" si="137"/>
        <v>8.5499999999999989</v>
      </c>
      <c r="T273" s="304">
        <f t="shared" ca="1" si="117"/>
        <v>83.875499999999988</v>
      </c>
      <c r="U273" s="311">
        <f t="shared" ca="1" si="118"/>
        <v>0</v>
      </c>
      <c r="V273" s="306">
        <f t="shared" ca="1" si="119"/>
        <v>1.1024123854642462</v>
      </c>
      <c r="W273" s="304">
        <f t="shared" ca="1" si="120"/>
        <v>18.701137801303215</v>
      </c>
      <c r="Y273" s="314" t="str">
        <f t="shared" ca="1" si="138"/>
        <v/>
      </c>
      <c r="Z273" s="315" t="str">
        <f t="shared" ca="1" si="139"/>
        <v/>
      </c>
      <c r="AA273" s="316" t="str">
        <f t="shared" ca="1" si="140"/>
        <v/>
      </c>
      <c r="AC273" s="310" t="e">
        <f t="shared" ca="1" si="141"/>
        <v>#N/A</v>
      </c>
      <c r="AD273" s="323" t="e">
        <f t="shared" ca="1" si="142"/>
        <v>#N/A</v>
      </c>
      <c r="AE273" s="324">
        <f t="shared" ca="1" si="121"/>
        <v>1053.4240970905671</v>
      </c>
      <c r="AG273" s="306">
        <f t="shared" ca="1" si="143"/>
        <v>-11.434139367802832</v>
      </c>
      <c r="AH273" s="304">
        <f t="shared" ca="1" si="144"/>
        <v>-2.2569224923408848</v>
      </c>
    </row>
    <row r="274" spans="1:34" x14ac:dyDescent="0.3">
      <c r="A274" s="347">
        <f t="shared" ca="1" si="122"/>
        <v>0.1</v>
      </c>
      <c r="B274" s="304">
        <f t="shared" ca="1" si="123"/>
        <v>8.9999999999999858</v>
      </c>
      <c r="D274" s="306">
        <f t="shared" ca="1" si="124"/>
        <v>-0.78242016996599129</v>
      </c>
      <c r="E274" s="307">
        <f t="shared" ca="1" si="125"/>
        <v>-11.852537182087868</v>
      </c>
      <c r="F274" s="304">
        <f t="shared" ca="1" si="126"/>
        <v>11.878334015136343</v>
      </c>
      <c r="G274" s="306">
        <f t="shared" ca="1" si="127"/>
        <v>26.388273327421619</v>
      </c>
      <c r="H274" s="307">
        <f t="shared" ca="1" si="128"/>
        <v>67.906576664465348</v>
      </c>
      <c r="I274" s="304">
        <f t="shared" ca="1" si="129"/>
        <v>72.853580032072699</v>
      </c>
      <c r="J274" s="306">
        <f t="shared" ca="1" si="130"/>
        <v>261.98974781566773</v>
      </c>
      <c r="K274" s="307">
        <f t="shared" ca="1" si="131"/>
        <v>1060.2740174429241</v>
      </c>
      <c r="L274" s="304">
        <f t="shared" ca="1" si="116"/>
        <v>1092.1628175437374</v>
      </c>
      <c r="M274" s="306">
        <f t="shared" ca="1" si="132"/>
        <v>1.2001588457565699</v>
      </c>
      <c r="N274" s="304">
        <f t="shared" ca="1" si="133"/>
        <v>68.764036607143808</v>
      </c>
      <c r="P274" s="310">
        <f t="shared" ca="1" si="134"/>
        <v>23</v>
      </c>
      <c r="Q274" s="304">
        <f t="shared" ca="1" si="135"/>
        <v>0</v>
      </c>
      <c r="R274" s="306">
        <f t="shared" ca="1" si="136"/>
        <v>0</v>
      </c>
      <c r="S274" s="307">
        <f t="shared" ca="1" si="137"/>
        <v>8.5499999999999989</v>
      </c>
      <c r="T274" s="304">
        <f t="shared" ca="1" si="117"/>
        <v>83.875499999999988</v>
      </c>
      <c r="U274" s="311">
        <f t="shared" ca="1" si="118"/>
        <v>0</v>
      </c>
      <c r="V274" s="306">
        <f t="shared" ca="1" si="119"/>
        <v>1.1016553872668671</v>
      </c>
      <c r="W274" s="304">
        <f t="shared" ca="1" si="120"/>
        <v>18.119834200625462</v>
      </c>
      <c r="Y274" s="314" t="str">
        <f t="shared" ca="1" si="138"/>
        <v/>
      </c>
      <c r="Z274" s="315" t="str">
        <f t="shared" ca="1" si="139"/>
        <v/>
      </c>
      <c r="AA274" s="316" t="str">
        <f t="shared" ca="1" si="140"/>
        <v/>
      </c>
      <c r="AC274" s="310">
        <f t="shared" ca="1" si="141"/>
        <v>8.9999999999999858</v>
      </c>
      <c r="AD274" s="323">
        <f t="shared" ca="1" si="142"/>
        <v>261.98974781566773</v>
      </c>
      <c r="AE274" s="324">
        <f t="shared" ca="1" si="121"/>
        <v>1060.2740174429241</v>
      </c>
      <c r="AG274" s="306">
        <f t="shared" ca="1" si="143"/>
        <v>-11.348144806809028</v>
      </c>
      <c r="AH274" s="304">
        <f t="shared" ca="1" si="144"/>
        <v>-2.1872675790997915</v>
      </c>
    </row>
    <row r="275" spans="1:34" x14ac:dyDescent="0.3">
      <c r="A275" s="347">
        <f t="shared" ca="1" si="122"/>
        <v>0.1</v>
      </c>
      <c r="B275" s="304">
        <f t="shared" ca="1" si="123"/>
        <v>9.0999999999999854</v>
      </c>
      <c r="D275" s="306">
        <f t="shared" ca="1" si="124"/>
        <v>-0.76762335671686588</v>
      </c>
      <c r="E275" s="307">
        <f t="shared" ca="1" si="125"/>
        <v>-11.785372684508317</v>
      </c>
      <c r="F275" s="304">
        <f t="shared" ca="1" si="126"/>
        <v>11.810345250268176</v>
      </c>
      <c r="G275" s="306">
        <f t="shared" ca="1" si="127"/>
        <v>26.31151099174993</v>
      </c>
      <c r="H275" s="307">
        <f t="shared" ca="1" si="128"/>
        <v>66.728039396014509</v>
      </c>
      <c r="I275" s="304">
        <f t="shared" ca="1" si="129"/>
        <v>71.728145468184536</v>
      </c>
      <c r="J275" s="306">
        <f t="shared" ca="1" si="130"/>
        <v>264.6247370316263</v>
      </c>
      <c r="K275" s="307">
        <f t="shared" ca="1" si="131"/>
        <v>1067.0057482459481</v>
      </c>
      <c r="L275" s="304">
        <f t="shared" ca="1" si="116"/>
        <v>1099.3304863592898</v>
      </c>
      <c r="M275" s="306">
        <f t="shared" ca="1" si="132"/>
        <v>1.1952050139494841</v>
      </c>
      <c r="N275" s="304">
        <f t="shared" ca="1" si="133"/>
        <v>68.480202952180122</v>
      </c>
      <c r="P275" s="310">
        <f t="shared" ca="1" si="134"/>
        <v>23</v>
      </c>
      <c r="Q275" s="304">
        <f t="shared" ca="1" si="135"/>
        <v>0</v>
      </c>
      <c r="R275" s="306">
        <f t="shared" ca="1" si="136"/>
        <v>0</v>
      </c>
      <c r="S275" s="307">
        <f t="shared" ca="1" si="137"/>
        <v>8.5499999999999989</v>
      </c>
      <c r="T275" s="304">
        <f t="shared" ca="1" si="117"/>
        <v>83.875499999999988</v>
      </c>
      <c r="U275" s="311">
        <f t="shared" ca="1" si="118"/>
        <v>0</v>
      </c>
      <c r="V275" s="306">
        <f t="shared" ca="1" si="119"/>
        <v>1.1009119300368431</v>
      </c>
      <c r="W275" s="304">
        <f t="shared" ca="1" si="120"/>
        <v>17.5524782556848</v>
      </c>
      <c r="Y275" s="314" t="str">
        <f t="shared" ca="1" si="138"/>
        <v/>
      </c>
      <c r="Z275" s="315" t="str">
        <f t="shared" ca="1" si="139"/>
        <v/>
      </c>
      <c r="AA275" s="316" t="str">
        <f t="shared" ca="1" si="140"/>
        <v/>
      </c>
      <c r="AC275" s="310" t="e">
        <f t="shared" ca="1" si="141"/>
        <v>#N/A</v>
      </c>
      <c r="AD275" s="323" t="e">
        <f t="shared" ca="1" si="142"/>
        <v>#N/A</v>
      </c>
      <c r="AE275" s="324">
        <f t="shared" ca="1" si="121"/>
        <v>1067.0057482459481</v>
      </c>
      <c r="AG275" s="306">
        <f t="shared" ca="1" si="143"/>
        <v>-11.263146825566814</v>
      </c>
      <c r="AH275" s="304">
        <f t="shared" ca="1" si="144"/>
        <v>-2.1192788538743232</v>
      </c>
    </row>
    <row r="276" spans="1:34" x14ac:dyDescent="0.3">
      <c r="A276" s="347">
        <f t="shared" ca="1" si="122"/>
        <v>0.1</v>
      </c>
      <c r="B276" s="304">
        <f t="shared" ca="1" si="123"/>
        <v>9.1999999999999851</v>
      </c>
      <c r="D276" s="306">
        <f t="shared" ca="1" si="124"/>
        <v>-0.7530581546181937</v>
      </c>
      <c r="E276" s="307">
        <f t="shared" ca="1" si="125"/>
        <v>-11.719814081928208</v>
      </c>
      <c r="F276" s="304">
        <f t="shared" ca="1" si="126"/>
        <v>11.743983084933308</v>
      </c>
      <c r="G276" s="306">
        <f t="shared" ca="1" si="127"/>
        <v>26.236205176288109</v>
      </c>
      <c r="H276" s="307">
        <f t="shared" ca="1" si="128"/>
        <v>65.556057987821688</v>
      </c>
      <c r="I276" s="304">
        <f t="shared" ca="1" si="129"/>
        <v>70.611154932878193</v>
      </c>
      <c r="J276" s="306">
        <f t="shared" ca="1" si="130"/>
        <v>267.25212284002822</v>
      </c>
      <c r="K276" s="307">
        <f t="shared" ca="1" si="131"/>
        <v>1073.6199531151399</v>
      </c>
      <c r="L276" s="304">
        <f t="shared" ca="1" si="116"/>
        <v>1106.3830714944334</v>
      </c>
      <c r="M276" s="306">
        <f t="shared" ca="1" si="132"/>
        <v>1.1901087283394882</v>
      </c>
      <c r="N276" s="304">
        <f t="shared" ca="1" si="133"/>
        <v>68.188207295534099</v>
      </c>
      <c r="P276" s="310">
        <f t="shared" ca="1" si="134"/>
        <v>23</v>
      </c>
      <c r="Q276" s="304">
        <f t="shared" ca="1" si="135"/>
        <v>0</v>
      </c>
      <c r="R276" s="306">
        <f t="shared" ca="1" si="136"/>
        <v>0</v>
      </c>
      <c r="S276" s="307">
        <f t="shared" ca="1" si="137"/>
        <v>8.5499999999999989</v>
      </c>
      <c r="T276" s="304">
        <f t="shared" ca="1" si="117"/>
        <v>83.875499999999988</v>
      </c>
      <c r="U276" s="311">
        <f t="shared" ca="1" si="118"/>
        <v>0</v>
      </c>
      <c r="V276" s="306">
        <f t="shared" ca="1" si="119"/>
        <v>1.1001819150680248</v>
      </c>
      <c r="W276" s="304">
        <f t="shared" ca="1" si="120"/>
        <v>16.998781546864148</v>
      </c>
      <c r="Y276" s="314" t="str">
        <f t="shared" ca="1" si="138"/>
        <v/>
      </c>
      <c r="Z276" s="315" t="str">
        <f t="shared" ca="1" si="139"/>
        <v/>
      </c>
      <c r="AA276" s="316" t="str">
        <f t="shared" ca="1" si="140"/>
        <v/>
      </c>
      <c r="AC276" s="310" t="e">
        <f t="shared" ca="1" si="141"/>
        <v>#N/A</v>
      </c>
      <c r="AD276" s="323" t="e">
        <f t="shared" ca="1" si="142"/>
        <v>#N/A</v>
      </c>
      <c r="AE276" s="324">
        <f t="shared" ca="1" si="121"/>
        <v>1073.6199531151399</v>
      </c>
      <c r="AG276" s="306">
        <f t="shared" ca="1" si="143"/>
        <v>-11.179074942641618</v>
      </c>
      <c r="AH276" s="304">
        <f t="shared" ca="1" si="144"/>
        <v>-2.0529214334134274</v>
      </c>
    </row>
    <row r="277" spans="1:34" x14ac:dyDescent="0.3">
      <c r="A277" s="347">
        <f t="shared" ca="1" si="122"/>
        <v>0.1</v>
      </c>
      <c r="B277" s="304">
        <f t="shared" ca="1" si="123"/>
        <v>9.2999999999999847</v>
      </c>
      <c r="D277" s="306">
        <f t="shared" ca="1" si="124"/>
        <v>-0.73871919107208772</v>
      </c>
      <c r="E277" s="307">
        <f t="shared" ca="1" si="125"/>
        <v>-11.655827847481792</v>
      </c>
      <c r="F277" s="304">
        <f t="shared" ca="1" si="126"/>
        <v>11.679213537451494</v>
      </c>
      <c r="G277" s="306">
        <f t="shared" ca="1" si="127"/>
        <v>26.162333257180901</v>
      </c>
      <c r="H277" s="307">
        <f t="shared" ca="1" si="128"/>
        <v>64.390475203073507</v>
      </c>
      <c r="I277" s="304">
        <f t="shared" ca="1" si="129"/>
        <v>69.502524978143185</v>
      </c>
      <c r="J277" s="306">
        <f t="shared" ca="1" si="130"/>
        <v>269.87204976170165</v>
      </c>
      <c r="K277" s="307">
        <f t="shared" ca="1" si="131"/>
        <v>1080.1172797746847</v>
      </c>
      <c r="L277" s="304">
        <f t="shared" ca="1" si="116"/>
        <v>1113.3212749743207</v>
      </c>
      <c r="M277" s="306">
        <f t="shared" ca="1" si="132"/>
        <v>1.1848643004375807</v>
      </c>
      <c r="N277" s="304">
        <f t="shared" ca="1" si="133"/>
        <v>67.887723710794162</v>
      </c>
      <c r="P277" s="310">
        <f t="shared" ca="1" si="134"/>
        <v>23</v>
      </c>
      <c r="Q277" s="304">
        <f t="shared" ca="1" si="135"/>
        <v>0</v>
      </c>
      <c r="R277" s="306">
        <f t="shared" ca="1" si="136"/>
        <v>0</v>
      </c>
      <c r="S277" s="307">
        <f t="shared" ca="1" si="137"/>
        <v>8.5499999999999989</v>
      </c>
      <c r="T277" s="304">
        <f t="shared" ca="1" si="117"/>
        <v>83.875499999999988</v>
      </c>
      <c r="U277" s="311">
        <f t="shared" ca="1" si="118"/>
        <v>0</v>
      </c>
      <c r="V277" s="306">
        <f t="shared" ca="1" si="119"/>
        <v>1.0994652460739887</v>
      </c>
      <c r="W277" s="304">
        <f t="shared" ca="1" si="120"/>
        <v>16.458465143462391</v>
      </c>
      <c r="Y277" s="314" t="str">
        <f t="shared" ca="1" si="138"/>
        <v/>
      </c>
      <c r="Z277" s="315" t="str">
        <f t="shared" ca="1" si="139"/>
        <v/>
      </c>
      <c r="AA277" s="316" t="str">
        <f t="shared" ca="1" si="140"/>
        <v/>
      </c>
      <c r="AC277" s="310" t="e">
        <f t="shared" ca="1" si="141"/>
        <v>#N/A</v>
      </c>
      <c r="AD277" s="323" t="e">
        <f t="shared" ca="1" si="142"/>
        <v>#N/A</v>
      </c>
      <c r="AE277" s="324">
        <f t="shared" ca="1" si="121"/>
        <v>1080.1172797746847</v>
      </c>
      <c r="AG277" s="306">
        <f t="shared" ca="1" si="143"/>
        <v>-11.095857521024634</v>
      </c>
      <c r="AH277" s="304">
        <f t="shared" ca="1" si="144"/>
        <v>-1.9881615844285556</v>
      </c>
    </row>
    <row r="278" spans="1:34" x14ac:dyDescent="0.3">
      <c r="A278" s="347">
        <f t="shared" ca="1" si="122"/>
        <v>0.1</v>
      </c>
      <c r="B278" s="304">
        <f t="shared" ca="1" si="123"/>
        <v>9.3999999999999844</v>
      </c>
      <c r="D278" s="306">
        <f t="shared" ca="1" si="124"/>
        <v>-0.72460129897610481</v>
      </c>
      <c r="E278" s="307">
        <f t="shared" ca="1" si="125"/>
        <v>-11.593381532342091</v>
      </c>
      <c r="F278" s="304">
        <f t="shared" ca="1" si="126"/>
        <v>11.616003718875461</v>
      </c>
      <c r="G278" s="306">
        <f t="shared" ca="1" si="127"/>
        <v>26.08987312728329</v>
      </c>
      <c r="H278" s="307">
        <f t="shared" ca="1" si="128"/>
        <v>63.231137049839298</v>
      </c>
      <c r="I278" s="304">
        <f t="shared" ca="1" si="129"/>
        <v>68.402179588177589</v>
      </c>
      <c r="J278" s="306">
        <f t="shared" ca="1" si="130"/>
        <v>272.48466008092487</v>
      </c>
      <c r="K278" s="307">
        <f t="shared" ca="1" si="131"/>
        <v>1086.4983603873304</v>
      </c>
      <c r="L278" s="304">
        <f t="shared" ca="1" si="116"/>
        <v>1120.1457838619822</v>
      </c>
      <c r="M278" s="306">
        <f t="shared" ca="1" si="132"/>
        <v>1.1794657511912818</v>
      </c>
      <c r="N278" s="304">
        <f t="shared" ca="1" si="133"/>
        <v>67.578409623487701</v>
      </c>
      <c r="P278" s="310">
        <f t="shared" ca="1" si="134"/>
        <v>23</v>
      </c>
      <c r="Q278" s="304">
        <f t="shared" ca="1" si="135"/>
        <v>0</v>
      </c>
      <c r="R278" s="306">
        <f t="shared" ca="1" si="136"/>
        <v>0</v>
      </c>
      <c r="S278" s="307">
        <f t="shared" ca="1" si="137"/>
        <v>8.5499999999999989</v>
      </c>
      <c r="T278" s="304">
        <f t="shared" ca="1" si="117"/>
        <v>83.875499999999988</v>
      </c>
      <c r="U278" s="311">
        <f t="shared" ca="1" si="118"/>
        <v>0</v>
      </c>
      <c r="V278" s="306">
        <f t="shared" ca="1" si="119"/>
        <v>1.0987618291356716</v>
      </c>
      <c r="W278" s="304">
        <f t="shared" ca="1" si="120"/>
        <v>15.931259275308701</v>
      </c>
      <c r="Y278" s="314" t="str">
        <f t="shared" ca="1" si="138"/>
        <v/>
      </c>
      <c r="Z278" s="315" t="str">
        <f t="shared" ca="1" si="139"/>
        <v/>
      </c>
      <c r="AA278" s="316" t="str">
        <f t="shared" ca="1" si="140"/>
        <v/>
      </c>
      <c r="AC278" s="310" t="e">
        <f t="shared" ca="1" si="141"/>
        <v>#N/A</v>
      </c>
      <c r="AD278" s="323" t="e">
        <f t="shared" ca="1" si="142"/>
        <v>#N/A</v>
      </c>
      <c r="AE278" s="324">
        <f t="shared" ca="1" si="121"/>
        <v>1086.4983603873304</v>
      </c>
      <c r="AG278" s="306">
        <f t="shared" ca="1" si="143"/>
        <v>-11.013421555276746</v>
      </c>
      <c r="AH278" s="304">
        <f t="shared" ca="1" si="144"/>
        <v>-1.9249666834458938</v>
      </c>
    </row>
    <row r="279" spans="1:34" x14ac:dyDescent="0.3">
      <c r="A279" s="347">
        <f t="shared" ca="1" si="122"/>
        <v>0.1</v>
      </c>
      <c r="B279" s="304">
        <f t="shared" ca="1" si="123"/>
        <v>9.499999999999984</v>
      </c>
      <c r="D279" s="306">
        <f t="shared" ca="1" si="124"/>
        <v>-0.71069951271309606</v>
      </c>
      <c r="E279" s="307">
        <f t="shared" ca="1" si="125"/>
        <v>-11.532443726359936</v>
      </c>
      <c r="F279" s="304">
        <f t="shared" ca="1" si="126"/>
        <v>11.554321793122662</v>
      </c>
      <c r="G279" s="306">
        <f t="shared" ca="1" si="127"/>
        <v>26.018803176011982</v>
      </c>
      <c r="H279" s="307">
        <f t="shared" ca="1" si="128"/>
        <v>62.077892677203302</v>
      </c>
      <c r="I279" s="304">
        <f t="shared" ca="1" si="129"/>
        <v>67.310050348773501</v>
      </c>
      <c r="J279" s="306">
        <f t="shared" ca="1" si="130"/>
        <v>275.09009389608963</v>
      </c>
      <c r="K279" s="307">
        <f t="shared" ca="1" si="131"/>
        <v>1092.7638118736825</v>
      </c>
      <c r="L279" s="304">
        <f t="shared" ca="1" si="116"/>
        <v>1126.8572705983931</v>
      </c>
      <c r="M279" s="306">
        <f t="shared" ca="1" si="132"/>
        <v>1.173906793669087</v>
      </c>
      <c r="N279" s="304">
        <f t="shared" ca="1" si="133"/>
        <v>67.259904818973439</v>
      </c>
      <c r="P279" s="310">
        <f t="shared" ca="1" si="134"/>
        <v>23</v>
      </c>
      <c r="Q279" s="304">
        <f t="shared" ca="1" si="135"/>
        <v>0</v>
      </c>
      <c r="R279" s="306">
        <f t="shared" ca="1" si="136"/>
        <v>0</v>
      </c>
      <c r="S279" s="307">
        <f t="shared" ca="1" si="137"/>
        <v>8.5499999999999989</v>
      </c>
      <c r="T279" s="304">
        <f t="shared" ca="1" si="117"/>
        <v>83.875499999999988</v>
      </c>
      <c r="U279" s="311">
        <f t="shared" ca="1" si="118"/>
        <v>0</v>
      </c>
      <c r="V279" s="306">
        <f t="shared" ca="1" si="119"/>
        <v>1.0980715726507395</v>
      </c>
      <c r="W279" s="304">
        <f t="shared" ca="1" si="120"/>
        <v>15.416903018539108</v>
      </c>
      <c r="Y279" s="314" t="str">
        <f t="shared" ca="1" si="138"/>
        <v/>
      </c>
      <c r="Z279" s="315" t="str">
        <f t="shared" ca="1" si="139"/>
        <v/>
      </c>
      <c r="AA279" s="316" t="str">
        <f t="shared" ca="1" si="140"/>
        <v/>
      </c>
      <c r="AC279" s="310" t="e">
        <f t="shared" ca="1" si="141"/>
        <v>#N/A</v>
      </c>
      <c r="AD279" s="323" t="e">
        <f t="shared" ca="1" si="142"/>
        <v>#N/A</v>
      </c>
      <c r="AE279" s="324">
        <f t="shared" ca="1" si="121"/>
        <v>1092.7638118736825</v>
      </c>
      <c r="AG279" s="306">
        <f t="shared" ca="1" si="143"/>
        <v>-10.931692446077701</v>
      </c>
      <c r="AH279" s="304">
        <f t="shared" ca="1" si="144"/>
        <v>-1.8633051783986787</v>
      </c>
    </row>
    <row r="280" spans="1:34" x14ac:dyDescent="0.3">
      <c r="A280" s="347">
        <f t="shared" ca="1" si="122"/>
        <v>0.1</v>
      </c>
      <c r="B280" s="304">
        <f t="shared" ca="1" si="123"/>
        <v>9.5999999999999837</v>
      </c>
      <c r="D280" s="306">
        <f t="shared" ca="1" si="124"/>
        <v>-0.69700906458494594</v>
      </c>
      <c r="E280" s="307">
        <f t="shared" ca="1" si="125"/>
        <v>-11.472984020196357</v>
      </c>
      <c r="F280" s="304">
        <f t="shared" ca="1" si="126"/>
        <v>11.494136938621992</v>
      </c>
      <c r="G280" s="306">
        <f t="shared" ca="1" si="127"/>
        <v>25.949102269553489</v>
      </c>
      <c r="H280" s="307">
        <f t="shared" ca="1" si="128"/>
        <v>60.930594275183665</v>
      </c>
      <c r="I280" s="304">
        <f t="shared" ca="1" si="129"/>
        <v>66.226076641477036</v>
      </c>
      <c r="J280" s="306">
        <f t="shared" ca="1" si="130"/>
        <v>277.68848916836788</v>
      </c>
      <c r="K280" s="307">
        <f t="shared" ca="1" si="131"/>
        <v>1098.9142362213017</v>
      </c>
      <c r="L280" s="304">
        <f t="shared" ca="1" si="116"/>
        <v>1133.4563933325612</v>
      </c>
      <c r="M280" s="306">
        <f t="shared" ca="1" si="132"/>
        <v>1.1681808146336756</v>
      </c>
      <c r="N280" s="304">
        <f t="shared" ca="1" si="133"/>
        <v>66.931830386663975</v>
      </c>
      <c r="P280" s="310">
        <f t="shared" ca="1" si="134"/>
        <v>23</v>
      </c>
      <c r="Q280" s="304">
        <f t="shared" ca="1" si="135"/>
        <v>0</v>
      </c>
      <c r="R280" s="306">
        <f t="shared" ca="1" si="136"/>
        <v>0</v>
      </c>
      <c r="S280" s="307">
        <f t="shared" ca="1" si="137"/>
        <v>8.5499999999999989</v>
      </c>
      <c r="T280" s="304">
        <f t="shared" ca="1" si="117"/>
        <v>83.875499999999988</v>
      </c>
      <c r="U280" s="311">
        <f t="shared" ca="1" si="118"/>
        <v>0</v>
      </c>
      <c r="V280" s="306">
        <f t="shared" ca="1" si="119"/>
        <v>1.0973943872846239</v>
      </c>
      <c r="W280" s="304">
        <f t="shared" ca="1" si="120"/>
        <v>14.915143994859077</v>
      </c>
      <c r="Y280" s="314" t="str">
        <f t="shared" ca="1" si="138"/>
        <v/>
      </c>
      <c r="Z280" s="315" t="str">
        <f t="shared" ca="1" si="139"/>
        <v/>
      </c>
      <c r="AA280" s="316" t="str">
        <f t="shared" ca="1" si="140"/>
        <v/>
      </c>
      <c r="AC280" s="310" t="e">
        <f t="shared" ca="1" si="141"/>
        <v>#N/A</v>
      </c>
      <c r="AD280" s="323" t="e">
        <f t="shared" ca="1" si="142"/>
        <v>#N/A</v>
      </c>
      <c r="AE280" s="324">
        <f t="shared" ca="1" si="121"/>
        <v>1098.9142362213017</v>
      </c>
      <c r="AG280" s="306">
        <f t="shared" ca="1" si="143"/>
        <v>-10.850593760841811</v>
      </c>
      <c r="AH280" s="304">
        <f t="shared" ca="1" si="144"/>
        <v>-1.8031465518759193</v>
      </c>
    </row>
    <row r="281" spans="1:34" x14ac:dyDescent="0.3">
      <c r="A281" s="347">
        <f t="shared" ca="1" si="122"/>
        <v>0.1</v>
      </c>
      <c r="B281" s="304">
        <f t="shared" ca="1" si="123"/>
        <v>9.6999999999999833</v>
      </c>
      <c r="D281" s="306">
        <f t="shared" ca="1" si="124"/>
        <v>-0.68352538169235288</v>
      </c>
      <c r="E281" s="307">
        <f t="shared" ca="1" si="125"/>
        <v>-11.414972968854983</v>
      </c>
      <c r="F281" s="304">
        <f t="shared" ca="1" si="126"/>
        <v>11.435419311381091</v>
      </c>
      <c r="G281" s="306">
        <f t="shared" ca="1" si="127"/>
        <v>25.880749731384252</v>
      </c>
      <c r="H281" s="307">
        <f t="shared" ca="1" si="128"/>
        <v>59.789096978298168</v>
      </c>
      <c r="I281" s="304">
        <f t="shared" ca="1" si="129"/>
        <v>65.150205864132843</v>
      </c>
      <c r="J281" s="306">
        <f t="shared" ca="1" si="130"/>
        <v>280.27998176841476</v>
      </c>
      <c r="K281" s="307">
        <f t="shared" ca="1" si="131"/>
        <v>1104.9502207839757</v>
      </c>
      <c r="L281" s="304">
        <f t="shared" ca="1" si="116"/>
        <v>1139.9437962420163</v>
      </c>
      <c r="M281" s="306">
        <f t="shared" ca="1" si="132"/>
        <v>1.1622808549371946</v>
      </c>
      <c r="N281" s="304">
        <f t="shared" ca="1" si="133"/>
        <v>66.593787596758318</v>
      </c>
      <c r="P281" s="310">
        <f t="shared" ca="1" si="134"/>
        <v>23</v>
      </c>
      <c r="Q281" s="304">
        <f t="shared" ca="1" si="135"/>
        <v>0</v>
      </c>
      <c r="R281" s="306">
        <f t="shared" ca="1" si="136"/>
        <v>0</v>
      </c>
      <c r="S281" s="307">
        <f t="shared" ca="1" si="137"/>
        <v>8.5499999999999989</v>
      </c>
      <c r="T281" s="304">
        <f t="shared" ca="1" si="117"/>
        <v>83.875499999999988</v>
      </c>
      <c r="U281" s="311">
        <f t="shared" ca="1" si="118"/>
        <v>0</v>
      </c>
      <c r="V281" s="306">
        <f t="shared" ca="1" si="119"/>
        <v>1.0967301859231686</v>
      </c>
      <c r="W281" s="304">
        <f t="shared" ca="1" si="120"/>
        <v>14.425738083651673</v>
      </c>
      <c r="Y281" s="314" t="str">
        <f t="shared" ca="1" si="138"/>
        <v/>
      </c>
      <c r="Z281" s="315" t="str">
        <f t="shared" ca="1" si="139"/>
        <v/>
      </c>
      <c r="AA281" s="316" t="str">
        <f t="shared" ca="1" si="140"/>
        <v/>
      </c>
      <c r="AC281" s="310" t="e">
        <f t="shared" ca="1" si="141"/>
        <v>#N/A</v>
      </c>
      <c r="AD281" s="323" t="e">
        <f t="shared" ca="1" si="142"/>
        <v>#N/A</v>
      </c>
      <c r="AE281" s="324">
        <f t="shared" ca="1" si="121"/>
        <v>1104.9502207839757</v>
      </c>
      <c r="AG281" s="306">
        <f t="shared" ca="1" si="143"/>
        <v>-10.770046978959227</v>
      </c>
      <c r="AH281" s="304">
        <f t="shared" ca="1" si="144"/>
        <v>-1.7444612859484303</v>
      </c>
    </row>
    <row r="282" spans="1:34" x14ac:dyDescent="0.3">
      <c r="A282" s="347">
        <f t="shared" ca="1" si="122"/>
        <v>0.1</v>
      </c>
      <c r="B282" s="304">
        <f t="shared" ca="1" si="123"/>
        <v>9.7999999999999829</v>
      </c>
      <c r="D282" s="306">
        <f t="shared" ca="1" si="124"/>
        <v>-0.67024408326476892</v>
      </c>
      <c r="E282" s="307">
        <f t="shared" ca="1" si="125"/>
        <v>-11.358382056523386</v>
      </c>
      <c r="F282" s="304">
        <f t="shared" ca="1" si="126"/>
        <v>11.378140009382195</v>
      </c>
      <c r="G282" s="306">
        <f t="shared" ca="1" si="127"/>
        <v>25.813725323057774</v>
      </c>
      <c r="H282" s="307">
        <f t="shared" ca="1" si="128"/>
        <v>58.653258772645827</v>
      </c>
      <c r="I282" s="304">
        <f t="shared" ca="1" si="129"/>
        <v>64.082393679584328</v>
      </c>
      <c r="J282" s="306">
        <f t="shared" ca="1" si="130"/>
        <v>282.86470552113684</v>
      </c>
      <c r="K282" s="307">
        <f t="shared" ca="1" si="131"/>
        <v>1110.872338571523</v>
      </c>
      <c r="L282" s="304">
        <f t="shared" ca="1" si="116"/>
        <v>1146.3201098440713</v>
      </c>
      <c r="M282" s="306">
        <f t="shared" ca="1" si="132"/>
        <v>1.156199588670024</v>
      </c>
      <c r="N282" s="304">
        <f t="shared" ca="1" si="133"/>
        <v>66.245356705554173</v>
      </c>
      <c r="P282" s="310">
        <f t="shared" ca="1" si="134"/>
        <v>23</v>
      </c>
      <c r="Q282" s="304">
        <f t="shared" ca="1" si="135"/>
        <v>0</v>
      </c>
      <c r="R282" s="306">
        <f t="shared" ca="1" si="136"/>
        <v>0</v>
      </c>
      <c r="S282" s="307">
        <f t="shared" ca="1" si="137"/>
        <v>8.5499999999999989</v>
      </c>
      <c r="T282" s="304">
        <f t="shared" ca="1" si="117"/>
        <v>83.875499999999988</v>
      </c>
      <c r="U282" s="311">
        <f t="shared" ca="1" si="118"/>
        <v>0</v>
      </c>
      <c r="V282" s="306">
        <f t="shared" ca="1" si="119"/>
        <v>1.0960788836268245</v>
      </c>
      <c r="W282" s="304">
        <f t="shared" ca="1" si="120"/>
        <v>13.948449146324666</v>
      </c>
      <c r="Y282" s="314" t="str">
        <f t="shared" ca="1" si="138"/>
        <v/>
      </c>
      <c r="Z282" s="315" t="str">
        <f t="shared" ca="1" si="139"/>
        <v/>
      </c>
      <c r="AA282" s="316" t="str">
        <f t="shared" ca="1" si="140"/>
        <v/>
      </c>
      <c r="AC282" s="310" t="e">
        <f t="shared" ca="1" si="141"/>
        <v>#N/A</v>
      </c>
      <c r="AD282" s="323" t="e">
        <f t="shared" ca="1" si="142"/>
        <v>#N/A</v>
      </c>
      <c r="AE282" s="324">
        <f t="shared" ca="1" si="121"/>
        <v>1110.872338571523</v>
      </c>
      <c r="AG282" s="306">
        <f t="shared" ca="1" si="143"/>
        <v>-10.689971220112044</v>
      </c>
      <c r="AH282" s="304">
        <f t="shared" ca="1" si="144"/>
        <v>-1.6872208284972718</v>
      </c>
    </row>
    <row r="283" spans="1:34" x14ac:dyDescent="0.3">
      <c r="A283" s="347">
        <f t="shared" ca="1" si="122"/>
        <v>0.1</v>
      </c>
      <c r="B283" s="304">
        <f t="shared" ca="1" si="123"/>
        <v>9.8999999999999826</v>
      </c>
      <c r="D283" s="306">
        <f t="shared" ca="1" si="124"/>
        <v>-0.6571609784466661</v>
      </c>
      <c r="E283" s="307">
        <f t="shared" ca="1" si="125"/>
        <v>-11.303183662634233</v>
      </c>
      <c r="F283" s="304">
        <f t="shared" ca="1" si="126"/>
        <v>11.322271038216424</v>
      </c>
      <c r="G283" s="306">
        <f t="shared" ca="1" si="127"/>
        <v>25.748009225213107</v>
      </c>
      <c r="H283" s="307">
        <f t="shared" ca="1" si="128"/>
        <v>57.522940406382403</v>
      </c>
      <c r="I283" s="304">
        <f t="shared" ca="1" si="129"/>
        <v>63.02260429447422</v>
      </c>
      <c r="J283" s="306">
        <f t="shared" ca="1" si="130"/>
        <v>285.4427922485504</v>
      </c>
      <c r="K283" s="307">
        <f t="shared" ca="1" si="131"/>
        <v>1116.6811485304743</v>
      </c>
      <c r="L283" s="304">
        <f t="shared" ca="1" si="116"/>
        <v>1152.5859512982051</v>
      </c>
      <c r="M283" s="306">
        <f t="shared" ca="1" si="132"/>
        <v>1.1499293009930593</v>
      </c>
      <c r="N283" s="304">
        <f t="shared" ca="1" si="133"/>
        <v>65.886095685331199</v>
      </c>
      <c r="P283" s="310">
        <f t="shared" ca="1" si="134"/>
        <v>23</v>
      </c>
      <c r="Q283" s="304">
        <f t="shared" ca="1" si="135"/>
        <v>0</v>
      </c>
      <c r="R283" s="306">
        <f t="shared" ca="1" si="136"/>
        <v>0</v>
      </c>
      <c r="S283" s="307">
        <f t="shared" ca="1" si="137"/>
        <v>8.5499999999999989</v>
      </c>
      <c r="T283" s="304">
        <f t="shared" ca="1" si="117"/>
        <v>83.875499999999988</v>
      </c>
      <c r="U283" s="311">
        <f t="shared" ca="1" si="118"/>
        <v>0</v>
      </c>
      <c r="V283" s="306">
        <f t="shared" ca="1" si="119"/>
        <v>1.0954403975863389</v>
      </c>
      <c r="W283" s="304">
        <f t="shared" ca="1" si="120"/>
        <v>13.483048762322237</v>
      </c>
      <c r="Y283" s="314" t="str">
        <f t="shared" ca="1" si="138"/>
        <v/>
      </c>
      <c r="Z283" s="315" t="str">
        <f t="shared" ca="1" si="139"/>
        <v/>
      </c>
      <c r="AA283" s="316" t="str">
        <f t="shared" ca="1" si="140"/>
        <v/>
      </c>
      <c r="AC283" s="310" t="e">
        <f t="shared" ca="1" si="141"/>
        <v>#N/A</v>
      </c>
      <c r="AD283" s="323" t="e">
        <f t="shared" ca="1" si="142"/>
        <v>#N/A</v>
      </c>
      <c r="AE283" s="324">
        <f t="shared" ca="1" si="121"/>
        <v>1116.6811485304743</v>
      </c>
      <c r="AG283" s="306">
        <f t="shared" ca="1" si="143"/>
        <v>-10.610282953997995</v>
      </c>
      <c r="AH283" s="304">
        <f t="shared" ca="1" si="144"/>
        <v>-1.6313975609736453</v>
      </c>
    </row>
    <row r="284" spans="1:34" x14ac:dyDescent="0.3">
      <c r="A284" s="347">
        <f t="shared" ca="1" si="122"/>
        <v>0.1</v>
      </c>
      <c r="B284" s="304">
        <f t="shared" ca="1" si="123"/>
        <v>9.9999999999999822</v>
      </c>
      <c r="D284" s="306">
        <f t="shared" ca="1" si="124"/>
        <v>-0.64427206454843566</v>
      </c>
      <c r="E284" s="307">
        <f t="shared" ca="1" si="125"/>
        <v>-11.249351029058438</v>
      </c>
      <c r="F284" s="304">
        <f t="shared" ca="1" si="126"/>
        <v>11.267785277867858</v>
      </c>
      <c r="G284" s="306">
        <f t="shared" ca="1" si="127"/>
        <v>25.683582018758262</v>
      </c>
      <c r="H284" s="307">
        <f t="shared" ca="1" si="128"/>
        <v>56.398005303476559</v>
      </c>
      <c r="I284" s="304">
        <f t="shared" ca="1" si="129"/>
        <v>61.970810770275165</v>
      </c>
      <c r="J284" s="306">
        <f t="shared" ca="1" si="130"/>
        <v>288.01437181074897</v>
      </c>
      <c r="K284" s="307">
        <f t="shared" ca="1" si="131"/>
        <v>1122.3771958159673</v>
      </c>
      <c r="L284" s="304">
        <f t="shared" ca="1" si="116"/>
        <v>1158.7419246999111</v>
      </c>
      <c r="M284" s="306">
        <f t="shared" ca="1" si="132"/>
        <v>1.1434618645828749</v>
      </c>
      <c r="N284" s="304">
        <f t="shared" ca="1" si="133"/>
        <v>65.515538874758391</v>
      </c>
      <c r="P284" s="310">
        <f t="shared" ca="1" si="134"/>
        <v>23</v>
      </c>
      <c r="Q284" s="304">
        <f t="shared" ca="1" si="135"/>
        <v>0</v>
      </c>
      <c r="R284" s="306">
        <f t="shared" ca="1" si="136"/>
        <v>0</v>
      </c>
      <c r="S284" s="307">
        <f t="shared" ca="1" si="137"/>
        <v>8.5499999999999989</v>
      </c>
      <c r="T284" s="304">
        <f t="shared" ca="1" si="117"/>
        <v>83.875499999999988</v>
      </c>
      <c r="U284" s="311">
        <f t="shared" ca="1" si="118"/>
        <v>0</v>
      </c>
      <c r="V284" s="306">
        <f t="shared" ca="1" si="119"/>
        <v>1.0948146470798836</v>
      </c>
      <c r="W284" s="304">
        <f t="shared" ca="1" si="120"/>
        <v>13.029315976256377</v>
      </c>
      <c r="Y284" s="314" t="str">
        <f t="shared" ca="1" si="138"/>
        <v/>
      </c>
      <c r="Z284" s="315" t="str">
        <f t="shared" ca="1" si="139"/>
        <v/>
      </c>
      <c r="AA284" s="316" t="str">
        <f t="shared" ca="1" si="140"/>
        <v/>
      </c>
      <c r="AC284" s="310">
        <f t="shared" ca="1" si="141"/>
        <v>9.9999999999999822</v>
      </c>
      <c r="AD284" s="323">
        <f t="shared" ca="1" si="142"/>
        <v>288.01437181074897</v>
      </c>
      <c r="AE284" s="324">
        <f t="shared" ca="1" si="121"/>
        <v>1122.3771958159673</v>
      </c>
      <c r="AG284" s="306">
        <f t="shared" ca="1" si="143"/>
        <v>-10.530895689671407</v>
      </c>
      <c r="AH284" s="304">
        <f t="shared" ca="1" si="144"/>
        <v>-1.5769647675230689</v>
      </c>
    </row>
    <row r="285" spans="1:34" x14ac:dyDescent="0.3">
      <c r="A285" s="347">
        <f t="shared" ca="1" si="122"/>
        <v>0.1</v>
      </c>
      <c r="B285" s="304">
        <f t="shared" ca="1" si="123"/>
        <v>10.099999999999982</v>
      </c>
      <c r="D285" s="306">
        <f t="shared" ca="1" si="124"/>
        <v>-0.63157352577241233</v>
      </c>
      <c r="E285" s="307">
        <f t="shared" ca="1" si="125"/>
        <v>-11.196858228343416</v>
      </c>
      <c r="F285" s="304">
        <f t="shared" ca="1" si="126"/>
        <v>11.214656450559609</v>
      </c>
      <c r="G285" s="306">
        <f t="shared" ca="1" si="127"/>
        <v>25.62042466618102</v>
      </c>
      <c r="H285" s="307">
        <f t="shared" ca="1" si="128"/>
        <v>55.278319480642217</v>
      </c>
      <c r="I285" s="304">
        <f t="shared" ca="1" si="129"/>
        <v>60.92699536887902</v>
      </c>
      <c r="J285" s="306">
        <f t="shared" ca="1" si="130"/>
        <v>290.57957214499595</v>
      </c>
      <c r="K285" s="307">
        <f t="shared" ca="1" si="131"/>
        <v>1127.9610120551733</v>
      </c>
      <c r="L285" s="304">
        <f t="shared" ca="1" si="116"/>
        <v>1164.7886213663403</v>
      </c>
      <c r="M285" s="306">
        <f t="shared" ca="1" si="132"/>
        <v>1.1367887146194231</v>
      </c>
      <c r="N285" s="304">
        <f t="shared" ca="1" si="133"/>
        <v>65.133195545794734</v>
      </c>
      <c r="P285" s="310">
        <f t="shared" ca="1" si="134"/>
        <v>23</v>
      </c>
      <c r="Q285" s="304">
        <f t="shared" ca="1" si="135"/>
        <v>0</v>
      </c>
      <c r="R285" s="306">
        <f t="shared" ca="1" si="136"/>
        <v>0</v>
      </c>
      <c r="S285" s="307">
        <f t="shared" ca="1" si="137"/>
        <v>8.5499999999999989</v>
      </c>
      <c r="T285" s="304">
        <f t="shared" ca="1" si="117"/>
        <v>83.875499999999988</v>
      </c>
      <c r="U285" s="311">
        <f t="shared" ca="1" si="118"/>
        <v>0</v>
      </c>
      <c r="V285" s="306">
        <f t="shared" ca="1" si="119"/>
        <v>1.0942015534315699</v>
      </c>
      <c r="W285" s="304">
        <f t="shared" ca="1" si="120"/>
        <v>12.587037055641412</v>
      </c>
      <c r="Y285" s="314" t="str">
        <f t="shared" ca="1" si="138"/>
        <v/>
      </c>
      <c r="Z285" s="315" t="str">
        <f t="shared" ca="1" si="139"/>
        <v/>
      </c>
      <c r="AA285" s="316" t="str">
        <f t="shared" ca="1" si="140"/>
        <v/>
      </c>
      <c r="AC285" s="310" t="e">
        <f t="shared" ca="1" si="141"/>
        <v>#N/A</v>
      </c>
      <c r="AD285" s="323" t="e">
        <f t="shared" ca="1" si="142"/>
        <v>#N/A</v>
      </c>
      <c r="AE285" s="324">
        <f t="shared" ca="1" si="121"/>
        <v>1127.9610120551733</v>
      </c>
      <c r="AG285" s="306">
        <f t="shared" ca="1" si="143"/>
        <v>-10.451719642582356</v>
      </c>
      <c r="AH285" s="304">
        <f t="shared" ca="1" si="144"/>
        <v>-1.5238966054101029</v>
      </c>
    </row>
    <row r="286" spans="1:34" x14ac:dyDescent="0.3">
      <c r="A286" s="347">
        <f t="shared" ca="1" si="122"/>
        <v>0.1</v>
      </c>
      <c r="B286" s="304">
        <f t="shared" ca="1" si="123"/>
        <v>10.199999999999982</v>
      </c>
      <c r="D286" s="306">
        <f t="shared" ca="1" si="124"/>
        <v>-0.61906173242681328</v>
      </c>
      <c r="E286" s="307">
        <f t="shared" ca="1" si="125"/>
        <v>-11.145680132909764</v>
      </c>
      <c r="F286" s="304">
        <f t="shared" ca="1" si="126"/>
        <v>11.16285908957444</v>
      </c>
      <c r="G286" s="306">
        <f t="shared" ca="1" si="127"/>
        <v>25.558518492938337</v>
      </c>
      <c r="H286" s="307">
        <f t="shared" ca="1" si="128"/>
        <v>54.16375146735124</v>
      </c>
      <c r="I286" s="304">
        <f t="shared" ca="1" si="129"/>
        <v>59.891149935285632</v>
      </c>
      <c r="J286" s="306">
        <f t="shared" ca="1" si="130"/>
        <v>293.13851930295192</v>
      </c>
      <c r="K286" s="307">
        <f t="shared" ca="1" si="131"/>
        <v>1133.433115602573</v>
      </c>
      <c r="L286" s="304">
        <f t="shared" ca="1" si="116"/>
        <v>1170.7266201140567</v>
      </c>
      <c r="M286" s="306">
        <f t="shared" ca="1" si="132"/>
        <v>1.1299008222474127</v>
      </c>
      <c r="N286" s="304">
        <f t="shared" ca="1" si="133"/>
        <v>64.73854838313818</v>
      </c>
      <c r="P286" s="310">
        <f t="shared" ca="1" si="134"/>
        <v>23</v>
      </c>
      <c r="Q286" s="304">
        <f t="shared" ca="1" si="135"/>
        <v>0</v>
      </c>
      <c r="R286" s="306">
        <f t="shared" ca="1" si="136"/>
        <v>0</v>
      </c>
      <c r="S286" s="307">
        <f t="shared" ca="1" si="137"/>
        <v>8.5499999999999989</v>
      </c>
      <c r="T286" s="304">
        <f t="shared" ca="1" si="117"/>
        <v>83.875499999999988</v>
      </c>
      <c r="U286" s="311">
        <f t="shared" ca="1" si="118"/>
        <v>0</v>
      </c>
      <c r="V286" s="306">
        <f t="shared" ca="1" si="119"/>
        <v>1.0936010399712983</v>
      </c>
      <c r="W286" s="304">
        <f t="shared" ca="1" si="120"/>
        <v>12.15600525874132</v>
      </c>
      <c r="Y286" s="314" t="str">
        <f t="shared" ca="1" si="138"/>
        <v/>
      </c>
      <c r="Z286" s="315" t="str">
        <f t="shared" ca="1" si="139"/>
        <v/>
      </c>
      <c r="AA286" s="316" t="str">
        <f t="shared" ca="1" si="140"/>
        <v/>
      </c>
      <c r="AC286" s="310" t="e">
        <f t="shared" ca="1" si="141"/>
        <v>#N/A</v>
      </c>
      <c r="AD286" s="323" t="e">
        <f t="shared" ca="1" si="142"/>
        <v>#N/A</v>
      </c>
      <c r="AE286" s="324">
        <f t="shared" ca="1" si="121"/>
        <v>1133.433115602573</v>
      </c>
      <c r="AG286" s="306">
        <f t="shared" ca="1" si="143"/>
        <v>-10.372661377261954</v>
      </c>
      <c r="AH286" s="304">
        <f t="shared" ca="1" si="144"/>
        <v>-1.4721680766832062</v>
      </c>
    </row>
    <row r="287" spans="1:34" x14ac:dyDescent="0.3">
      <c r="A287" s="347">
        <f t="shared" ca="1" si="122"/>
        <v>0.1</v>
      </c>
      <c r="B287" s="304">
        <f t="shared" ca="1" si="123"/>
        <v>10.299999999999981</v>
      </c>
      <c r="D287" s="306">
        <f t="shared" ca="1" si="124"/>
        <v>-0.60673324064277157</v>
      </c>
      <c r="E287" s="307">
        <f t="shared" ca="1" si="125"/>
        <v>-11.095792385119488</v>
      </c>
      <c r="F287" s="304">
        <f t="shared" ca="1" si="126"/>
        <v>11.112368508962277</v>
      </c>
      <c r="G287" s="306">
        <f t="shared" ca="1" si="127"/>
        <v>25.497845168874061</v>
      </c>
      <c r="H287" s="307">
        <f t="shared" ca="1" si="128"/>
        <v>53.054172228839292</v>
      </c>
      <c r="I287" s="304">
        <f t="shared" ca="1" si="129"/>
        <v>58.863276320157517</v>
      </c>
      <c r="J287" s="306">
        <f t="shared" ca="1" si="130"/>
        <v>295.69133748604253</v>
      </c>
      <c r="K287" s="307">
        <f t="shared" ca="1" si="131"/>
        <v>1138.7940117873825</v>
      </c>
      <c r="L287" s="304">
        <f t="shared" ca="1" si="116"/>
        <v>1176.5564875292157</v>
      </c>
      <c r="M287" s="306">
        <f t="shared" ca="1" si="132"/>
        <v>1.1227886664455906</v>
      </c>
      <c r="N287" s="304">
        <f t="shared" ca="1" si="133"/>
        <v>64.331051872454296</v>
      </c>
      <c r="P287" s="310">
        <f t="shared" ca="1" si="134"/>
        <v>23</v>
      </c>
      <c r="Q287" s="304">
        <f t="shared" ca="1" si="135"/>
        <v>0</v>
      </c>
      <c r="R287" s="306">
        <f t="shared" ca="1" si="136"/>
        <v>0</v>
      </c>
      <c r="S287" s="307">
        <f t="shared" ca="1" si="137"/>
        <v>8.5499999999999989</v>
      </c>
      <c r="T287" s="304">
        <f t="shared" ca="1" si="117"/>
        <v>83.875499999999988</v>
      </c>
      <c r="U287" s="311">
        <f t="shared" ca="1" si="118"/>
        <v>0</v>
      </c>
      <c r="V287" s="306">
        <f t="shared" ca="1" si="119"/>
        <v>1.0930130319958977</v>
      </c>
      <c r="W287" s="304">
        <f t="shared" ca="1" si="120"/>
        <v>11.736020612064321</v>
      </c>
      <c r="Y287" s="314" t="str">
        <f t="shared" ca="1" si="138"/>
        <v/>
      </c>
      <c r="Z287" s="315" t="str">
        <f t="shared" ca="1" si="139"/>
        <v/>
      </c>
      <c r="AA287" s="316" t="str">
        <f t="shared" ca="1" si="140"/>
        <v/>
      </c>
      <c r="AC287" s="310" t="e">
        <f t="shared" ca="1" si="141"/>
        <v>#N/A</v>
      </c>
      <c r="AD287" s="323" t="e">
        <f t="shared" ca="1" si="142"/>
        <v>#N/A</v>
      </c>
      <c r="AE287" s="324">
        <f t="shared" ca="1" si="121"/>
        <v>1138.7940117873825</v>
      </c>
      <c r="AG287" s="306">
        <f t="shared" ca="1" si="143"/>
        <v>-10.293623423466311</v>
      </c>
      <c r="AH287" s="304">
        <f t="shared" ca="1" si="144"/>
        <v>-1.4217550010223767</v>
      </c>
    </row>
    <row r="288" spans="1:34" x14ac:dyDescent="0.3">
      <c r="A288" s="347">
        <f t="shared" ca="1" si="122"/>
        <v>0.1</v>
      </c>
      <c r="B288" s="304">
        <f t="shared" ca="1" si="123"/>
        <v>10.399999999999981</v>
      </c>
      <c r="D288" s="306">
        <f t="shared" ca="1" si="124"/>
        <v>-0.59458479261210917</v>
      </c>
      <c r="E288" s="307">
        <f t="shared" ca="1" si="125"/>
        <v>-11.047171368127989</v>
      </c>
      <c r="F288" s="304">
        <f t="shared" ca="1" si="126"/>
        <v>11.063160774046105</v>
      </c>
      <c r="G288" s="306">
        <f t="shared" ca="1" si="127"/>
        <v>25.438386689612852</v>
      </c>
      <c r="H288" s="307">
        <f t="shared" ca="1" si="128"/>
        <v>51.94945509202649</v>
      </c>
      <c r="I288" s="304">
        <f t="shared" ca="1" si="129"/>
        <v>57.843386845245753</v>
      </c>
      <c r="J288" s="306">
        <f t="shared" ca="1" si="130"/>
        <v>298.2381490789669</v>
      </c>
      <c r="K288" s="307">
        <f t="shared" ca="1" si="131"/>
        <v>1144.0441931534258</v>
      </c>
      <c r="L288" s="304">
        <f t="shared" ca="1" si="116"/>
        <v>1182.2787782304652</v>
      </c>
      <c r="M288" s="306">
        <f t="shared" ca="1" si="132"/>
        <v>1.1154422042432011</v>
      </c>
      <c r="N288" s="304">
        <f t="shared" ca="1" si="133"/>
        <v>63.910130593904988</v>
      </c>
      <c r="P288" s="310">
        <f t="shared" ca="1" si="134"/>
        <v>23</v>
      </c>
      <c r="Q288" s="304">
        <f t="shared" ca="1" si="135"/>
        <v>0</v>
      </c>
      <c r="R288" s="306">
        <f t="shared" ca="1" si="136"/>
        <v>0</v>
      </c>
      <c r="S288" s="307">
        <f t="shared" ca="1" si="137"/>
        <v>8.5499999999999989</v>
      </c>
      <c r="T288" s="304">
        <f t="shared" ca="1" si="117"/>
        <v>83.875499999999988</v>
      </c>
      <c r="U288" s="311">
        <f t="shared" ca="1" si="118"/>
        <v>0</v>
      </c>
      <c r="V288" s="306">
        <f t="shared" ca="1" si="119"/>
        <v>1.0924374567315041</v>
      </c>
      <c r="W288" s="304">
        <f t="shared" ca="1" si="120"/>
        <v>11.326889697062239</v>
      </c>
      <c r="Y288" s="314" t="str">
        <f t="shared" ca="1" si="138"/>
        <v/>
      </c>
      <c r="Z288" s="315" t="str">
        <f t="shared" ca="1" si="139"/>
        <v/>
      </c>
      <c r="AA288" s="316" t="str">
        <f t="shared" ca="1" si="140"/>
        <v/>
      </c>
      <c r="AC288" s="310" t="e">
        <f t="shared" ca="1" si="141"/>
        <v>#N/A</v>
      </c>
      <c r="AD288" s="323" t="e">
        <f t="shared" ca="1" si="142"/>
        <v>#N/A</v>
      </c>
      <c r="AE288" s="324">
        <f t="shared" ca="1" si="121"/>
        <v>1144.0441931534258</v>
      </c>
      <c r="AG288" s="306">
        <f t="shared" ca="1" si="143"/>
        <v>-10.214503863456478</v>
      </c>
      <c r="AH288" s="304">
        <f t="shared" ca="1" si="144"/>
        <v>-1.3726339897151254</v>
      </c>
    </row>
    <row r="289" spans="1:34" x14ac:dyDescent="0.3">
      <c r="A289" s="347">
        <f t="shared" ca="1" si="122"/>
        <v>0.1</v>
      </c>
      <c r="B289" s="304">
        <f t="shared" ca="1" si="123"/>
        <v>10.49999999999998</v>
      </c>
      <c r="D289" s="306">
        <f t="shared" ca="1" si="124"/>
        <v>-0.58261331736607436</v>
      </c>
      <c r="E289" s="307">
        <f t="shared" ca="1" si="125"/>
        <v>-10.999794177430445</v>
      </c>
      <c r="F289" s="304">
        <f t="shared" ca="1" si="126"/>
        <v>11.015212672636194</v>
      </c>
      <c r="G289" s="306">
        <f t="shared" ca="1" si="127"/>
        <v>25.380125357876246</v>
      </c>
      <c r="H289" s="307">
        <f t="shared" ca="1" si="128"/>
        <v>50.849475674283447</v>
      </c>
      <c r="I289" s="304">
        <f t="shared" ca="1" si="129"/>
        <v>56.831504814944473</v>
      </c>
      <c r="J289" s="306">
        <f t="shared" ca="1" si="130"/>
        <v>300.77907468134134</v>
      </c>
      <c r="K289" s="307">
        <f t="shared" ca="1" si="131"/>
        <v>1149.1841396917414</v>
      </c>
      <c r="L289" s="304">
        <f t="shared" ca="1" si="116"/>
        <v>1187.8940351248557</v>
      </c>
      <c r="M289" s="306">
        <f t="shared" ca="1" si="132"/>
        <v>1.1078508392304556</v>
      </c>
      <c r="N289" s="304">
        <f t="shared" ca="1" si="133"/>
        <v>63.475177417931391</v>
      </c>
      <c r="P289" s="310">
        <f t="shared" ca="1" si="134"/>
        <v>23</v>
      </c>
      <c r="Q289" s="304">
        <f t="shared" ca="1" si="135"/>
        <v>0</v>
      </c>
      <c r="R289" s="306">
        <f t="shared" ca="1" si="136"/>
        <v>0</v>
      </c>
      <c r="S289" s="307">
        <f t="shared" ca="1" si="137"/>
        <v>8.5499999999999989</v>
      </c>
      <c r="T289" s="304">
        <f t="shared" ca="1" si="117"/>
        <v>83.875499999999988</v>
      </c>
      <c r="U289" s="311">
        <f t="shared" ca="1" si="118"/>
        <v>0</v>
      </c>
      <c r="V289" s="306">
        <f t="shared" ca="1" si="119"/>
        <v>1.0918742432971316</v>
      </c>
      <c r="W289" s="304">
        <f t="shared" ca="1" si="120"/>
        <v>10.928425445613968</v>
      </c>
      <c r="Y289" s="314" t="str">
        <f t="shared" ca="1" si="138"/>
        <v/>
      </c>
      <c r="Z289" s="315" t="str">
        <f t="shared" ca="1" si="139"/>
        <v/>
      </c>
      <c r="AA289" s="316" t="str">
        <f t="shared" ca="1" si="140"/>
        <v/>
      </c>
      <c r="AC289" s="310" t="e">
        <f t="shared" ca="1" si="141"/>
        <v>#N/A</v>
      </c>
      <c r="AD289" s="323" t="e">
        <f t="shared" ca="1" si="142"/>
        <v>#N/A</v>
      </c>
      <c r="AE289" s="324">
        <f t="shared" ca="1" si="121"/>
        <v>1149.1841396917414</v>
      </c>
      <c r="AG289" s="306">
        <f t="shared" ca="1" si="143"/>
        <v>-10.135195887960336</v>
      </c>
      <c r="AH289" s="304">
        <f t="shared" ca="1" si="144"/>
        <v>-1.324782420709034</v>
      </c>
    </row>
    <row r="290" spans="1:34" x14ac:dyDescent="0.3">
      <c r="A290" s="347">
        <f t="shared" ca="1" si="122"/>
        <v>0.1</v>
      </c>
      <c r="B290" s="304">
        <f t="shared" ca="1" si="123"/>
        <v>10.59999999999998</v>
      </c>
      <c r="D290" s="306">
        <f t="shared" ca="1" si="124"/>
        <v>-0.57081593211792159</v>
      </c>
      <c r="E290" s="307">
        <f t="shared" ca="1" si="125"/>
        <v>-10.953638593010973</v>
      </c>
      <c r="F290" s="304">
        <f t="shared" ca="1" si="126"/>
        <v>10.968501686860384</v>
      </c>
      <c r="G290" s="306">
        <f t="shared" ca="1" si="127"/>
        <v>25.323043764664455</v>
      </c>
      <c r="H290" s="307">
        <f t="shared" ca="1" si="128"/>
        <v>49.754111814982352</v>
      </c>
      <c r="I290" s="304">
        <f t="shared" ca="1" si="129"/>
        <v>55.827665077494309</v>
      </c>
      <c r="J290" s="306">
        <f t="shared" ca="1" si="130"/>
        <v>303.31423313746836</v>
      </c>
      <c r="K290" s="307">
        <f t="shared" ca="1" si="131"/>
        <v>1154.2143190662048</v>
      </c>
      <c r="L290" s="304">
        <f t="shared" ca="1" si="116"/>
        <v>1193.4027896570517</v>
      </c>
      <c r="M290" s="306">
        <f t="shared" ca="1" si="132"/>
        <v>1.1000033883205294</v>
      </c>
      <c r="N290" s="304">
        <f t="shared" ca="1" si="133"/>
        <v>63.025551600856524</v>
      </c>
      <c r="P290" s="310">
        <f t="shared" ca="1" si="134"/>
        <v>23</v>
      </c>
      <c r="Q290" s="304">
        <f t="shared" ca="1" si="135"/>
        <v>0</v>
      </c>
      <c r="R290" s="306">
        <f t="shared" ca="1" si="136"/>
        <v>0</v>
      </c>
      <c r="S290" s="307">
        <f t="shared" ca="1" si="137"/>
        <v>8.5499999999999989</v>
      </c>
      <c r="T290" s="304">
        <f t="shared" ca="1" si="117"/>
        <v>83.875499999999988</v>
      </c>
      <c r="U290" s="311">
        <f t="shared" ca="1" si="118"/>
        <v>0</v>
      </c>
      <c r="V290" s="306">
        <f t="shared" ca="1" si="119"/>
        <v>1.0913233226693984</v>
      </c>
      <c r="W290" s="304">
        <f t="shared" ca="1" si="120"/>
        <v>10.540446943892684</v>
      </c>
      <c r="Y290" s="314" t="str">
        <f t="shared" ca="1" si="138"/>
        <v/>
      </c>
      <c r="Z290" s="315" t="str">
        <f t="shared" ca="1" si="139"/>
        <v/>
      </c>
      <c r="AA290" s="316" t="str">
        <f t="shared" ca="1" si="140"/>
        <v/>
      </c>
      <c r="AC290" s="310" t="e">
        <f t="shared" ca="1" si="141"/>
        <v>#N/A</v>
      </c>
      <c r="AD290" s="323" t="e">
        <f t="shared" ca="1" si="142"/>
        <v>#N/A</v>
      </c>
      <c r="AE290" s="324">
        <f t="shared" ca="1" si="121"/>
        <v>1154.2143190662048</v>
      </c>
      <c r="AG290" s="306">
        <f t="shared" ca="1" si="143"/>
        <v>-10.055587318239622</v>
      </c>
      <c r="AH290" s="304">
        <f t="shared" ca="1" si="144"/>
        <v>-1.2781784146916924</v>
      </c>
    </row>
    <row r="291" spans="1:34" x14ac:dyDescent="0.3">
      <c r="A291" s="347">
        <f t="shared" ca="1" si="122"/>
        <v>0.1</v>
      </c>
      <c r="B291" s="304">
        <f t="shared" ca="1" si="123"/>
        <v>10.69999999999998</v>
      </c>
      <c r="D291" s="306">
        <f t="shared" ca="1" si="124"/>
        <v>-0.55918994419495183</v>
      </c>
      <c r="E291" s="307">
        <f t="shared" ca="1" si="125"/>
        <v>-10.908683051999931</v>
      </c>
      <c r="F291" s="304">
        <f t="shared" ca="1" si="126"/>
        <v>10.923005965515138</v>
      </c>
      <c r="G291" s="306">
        <f t="shared" ca="1" si="127"/>
        <v>25.267124770244958</v>
      </c>
      <c r="H291" s="307">
        <f t="shared" ca="1" si="128"/>
        <v>48.663243509782362</v>
      </c>
      <c r="I291" s="304">
        <f t="shared" ca="1" si="129"/>
        <v>54.831914639628458</v>
      </c>
      <c r="J291" s="306">
        <f t="shared" ca="1" si="130"/>
        <v>305.84374156421381</v>
      </c>
      <c r="K291" s="307">
        <f t="shared" ca="1" si="131"/>
        <v>1159.135186832443</v>
      </c>
      <c r="L291" s="304">
        <f t="shared" ca="1" si="116"/>
        <v>1198.805562052112</v>
      </c>
      <c r="M291" s="306">
        <f t="shared" ca="1" si="132"/>
        <v>1.0918880467351559</v>
      </c>
      <c r="N291" s="304">
        <f t="shared" ca="1" si="133"/>
        <v>62.56057677870762</v>
      </c>
      <c r="P291" s="310">
        <f t="shared" ca="1" si="134"/>
        <v>23</v>
      </c>
      <c r="Q291" s="304">
        <f t="shared" ca="1" si="135"/>
        <v>0</v>
      </c>
      <c r="R291" s="306">
        <f t="shared" ca="1" si="136"/>
        <v>0</v>
      </c>
      <c r="S291" s="307">
        <f t="shared" ca="1" si="137"/>
        <v>8.5499999999999989</v>
      </c>
      <c r="T291" s="304">
        <f t="shared" ca="1" si="117"/>
        <v>83.875499999999988</v>
      </c>
      <c r="U291" s="311">
        <f t="shared" ca="1" si="118"/>
        <v>0</v>
      </c>
      <c r="V291" s="306">
        <f t="shared" ca="1" si="119"/>
        <v>1.0907846276483564</v>
      </c>
      <c r="W291" s="304">
        <f t="shared" ca="1" si="120"/>
        <v>10.162779244235388</v>
      </c>
      <c r="Y291" s="314" t="str">
        <f t="shared" ca="1" si="138"/>
        <v/>
      </c>
      <c r="Z291" s="315" t="str">
        <f t="shared" ca="1" si="139"/>
        <v/>
      </c>
      <c r="AA291" s="316" t="str">
        <f t="shared" ca="1" si="140"/>
        <v/>
      </c>
      <c r="AC291" s="310" t="e">
        <f t="shared" ca="1" si="141"/>
        <v>#N/A</v>
      </c>
      <c r="AD291" s="323" t="e">
        <f t="shared" ca="1" si="142"/>
        <v>#N/A</v>
      </c>
      <c r="AE291" s="324">
        <f t="shared" ca="1" si="121"/>
        <v>1159.135186832443</v>
      </c>
      <c r="AG291" s="306">
        <f t="shared" ca="1" si="143"/>
        <v>-9.9755600915776697</v>
      </c>
      <c r="AH291" s="304">
        <f t="shared" ca="1" si="144"/>
        <v>-1.2328008121511913</v>
      </c>
    </row>
    <row r="292" spans="1:34" x14ac:dyDescent="0.3">
      <c r="A292" s="347">
        <f t="shared" ca="1" si="122"/>
        <v>0.1</v>
      </c>
      <c r="B292" s="304">
        <f t="shared" ca="1" si="123"/>
        <v>10.799999999999979</v>
      </c>
      <c r="D292" s="306">
        <f t="shared" ca="1" si="124"/>
        <v>-0.54773285358842916</v>
      </c>
      <c r="E292" s="307">
        <f t="shared" ca="1" si="125"/>
        <v>-10.864906621740772</v>
      </c>
      <c r="F292" s="304">
        <f t="shared" ca="1" si="126"/>
        <v>10.878704296838231</v>
      </c>
      <c r="G292" s="306">
        <f t="shared" ca="1" si="127"/>
        <v>25.212351484886117</v>
      </c>
      <c r="H292" s="307">
        <f t="shared" ca="1" si="128"/>
        <v>47.576752847608283</v>
      </c>
      <c r="I292" s="304">
        <f t="shared" ca="1" si="129"/>
        <v>53.844313338734686</v>
      </c>
      <c r="J292" s="306">
        <f t="shared" ca="1" si="130"/>
        <v>308.36771537697035</v>
      </c>
      <c r="K292" s="307">
        <f t="shared" ca="1" si="131"/>
        <v>1163.9471866503125</v>
      </c>
      <c r="L292" s="304">
        <f t="shared" ca="1" si="116"/>
        <v>1204.1028615521141</v>
      </c>
      <c r="M292" s="306">
        <f t="shared" ca="1" si="132"/>
        <v>1.0834923512052455</v>
      </c>
      <c r="N292" s="304">
        <f t="shared" ca="1" si="133"/>
        <v>62.079538858766902</v>
      </c>
      <c r="P292" s="310">
        <f t="shared" ca="1" si="134"/>
        <v>23</v>
      </c>
      <c r="Q292" s="304">
        <f t="shared" ca="1" si="135"/>
        <v>0</v>
      </c>
      <c r="R292" s="306">
        <f t="shared" ca="1" si="136"/>
        <v>0</v>
      </c>
      <c r="S292" s="307">
        <f t="shared" ca="1" si="137"/>
        <v>8.5499999999999989</v>
      </c>
      <c r="T292" s="304">
        <f t="shared" ca="1" si="117"/>
        <v>83.875499999999988</v>
      </c>
      <c r="U292" s="311">
        <f t="shared" ca="1" si="118"/>
        <v>0</v>
      </c>
      <c r="V292" s="306">
        <f t="shared" ca="1" si="119"/>
        <v>1.0902580928243848</v>
      </c>
      <c r="W292" s="304">
        <f t="shared" ca="1" si="120"/>
        <v>9.7952531846511359</v>
      </c>
      <c r="Y292" s="314" t="str">
        <f t="shared" ca="1" si="138"/>
        <v/>
      </c>
      <c r="Z292" s="315" t="str">
        <f t="shared" ca="1" si="139"/>
        <v/>
      </c>
      <c r="AA292" s="316" t="str">
        <f t="shared" ca="1" si="140"/>
        <v/>
      </c>
      <c r="AC292" s="310" t="e">
        <f t="shared" ca="1" si="141"/>
        <v>#N/A</v>
      </c>
      <c r="AD292" s="323" t="e">
        <f t="shared" ca="1" si="142"/>
        <v>#N/A</v>
      </c>
      <c r="AE292" s="324">
        <f t="shared" ca="1" si="121"/>
        <v>1163.9471866503125</v>
      </c>
      <c r="AG292" s="306">
        <f t="shared" ca="1" si="143"/>
        <v>-9.8949897074189703</v>
      </c>
      <c r="AH292" s="304">
        <f t="shared" ca="1" si="144"/>
        <v>-1.1886291513725602</v>
      </c>
    </row>
    <row r="293" spans="1:34" x14ac:dyDescent="0.3">
      <c r="A293" s="347">
        <f t="shared" ca="1" si="122"/>
        <v>0.1</v>
      </c>
      <c r="B293" s="304">
        <f t="shared" ca="1" si="123"/>
        <v>10.899999999999979</v>
      </c>
      <c r="D293" s="306">
        <f t="shared" ca="1" si="124"/>
        <v>-0.53644235615262092</v>
      </c>
      <c r="E293" s="307">
        <f t="shared" ca="1" si="125"/>
        <v>-10.822288973163076</v>
      </c>
      <c r="F293" s="304">
        <f t="shared" ca="1" si="126"/>
        <v>10.835576081599061</v>
      </c>
      <c r="G293" s="306">
        <f t="shared" ca="1" si="127"/>
        <v>25.158707249270854</v>
      </c>
      <c r="H293" s="307">
        <f t="shared" ca="1" si="128"/>
        <v>46.494523950291978</v>
      </c>
      <c r="I293" s="304">
        <f t="shared" ca="1" si="129"/>
        <v>52.864934576889326</v>
      </c>
      <c r="J293" s="306">
        <f t="shared" ca="1" si="130"/>
        <v>310.88626831367822</v>
      </c>
      <c r="K293" s="307">
        <f t="shared" ca="1" si="131"/>
        <v>1168.6507504902074</v>
      </c>
      <c r="L293" s="304">
        <f t="shared" ca="1" si="116"/>
        <v>1209.295186646887</v>
      </c>
      <c r="M293" s="306">
        <f t="shared" ca="1" si="132"/>
        <v>1.0748031414031844</v>
      </c>
      <c r="N293" s="304">
        <f t="shared" ca="1" si="133"/>
        <v>61.581683809805099</v>
      </c>
      <c r="P293" s="310">
        <f t="shared" ca="1" si="134"/>
        <v>23</v>
      </c>
      <c r="Q293" s="304">
        <f t="shared" ca="1" si="135"/>
        <v>0</v>
      </c>
      <c r="R293" s="306">
        <f t="shared" ca="1" si="136"/>
        <v>0</v>
      </c>
      <c r="S293" s="307">
        <f t="shared" ca="1" si="137"/>
        <v>8.5499999999999989</v>
      </c>
      <c r="T293" s="304">
        <f t="shared" ca="1" si="117"/>
        <v>83.875499999999988</v>
      </c>
      <c r="U293" s="311">
        <f t="shared" ca="1" si="118"/>
        <v>0</v>
      </c>
      <c r="V293" s="306">
        <f t="shared" ca="1" si="119"/>
        <v>1.0897436545461121</v>
      </c>
      <c r="W293" s="304">
        <f t="shared" ca="1" si="120"/>
        <v>9.43770521562098</v>
      </c>
      <c r="Y293" s="314" t="str">
        <f t="shared" ca="1" si="138"/>
        <v/>
      </c>
      <c r="Z293" s="315" t="str">
        <f t="shared" ca="1" si="139"/>
        <v/>
      </c>
      <c r="AA293" s="316" t="str">
        <f t="shared" ca="1" si="140"/>
        <v/>
      </c>
      <c r="AC293" s="310" t="e">
        <f t="shared" ca="1" si="141"/>
        <v>#N/A</v>
      </c>
      <c r="AD293" s="323" t="e">
        <f t="shared" ca="1" si="142"/>
        <v>#N/A</v>
      </c>
      <c r="AE293" s="324">
        <f t="shared" ca="1" si="121"/>
        <v>1168.6507504902074</v>
      </c>
      <c r="AG293" s="306">
        <f t="shared" ca="1" si="143"/>
        <v>-9.8137446313414873</v>
      </c>
      <c r="AH293" s="304">
        <f t="shared" ca="1" si="144"/>
        <v>-1.1456436473276184</v>
      </c>
    </row>
    <row r="294" spans="1:34" x14ac:dyDescent="0.3">
      <c r="A294" s="347">
        <f t="shared" ca="1" si="122"/>
        <v>0.1</v>
      </c>
      <c r="B294" s="304">
        <f t="shared" ca="1" si="123"/>
        <v>10.999999999999979</v>
      </c>
      <c r="D294" s="306">
        <f t="shared" ca="1" si="124"/>
        <v>-0.52531634748704503</v>
      </c>
      <c r="E294" s="307">
        <f t="shared" ca="1" si="125"/>
        <v>-10.780810354352536</v>
      </c>
      <c r="F294" s="304">
        <f t="shared" ca="1" si="126"/>
        <v>10.793601306396859</v>
      </c>
      <c r="G294" s="306">
        <f t="shared" ca="1" si="127"/>
        <v>25.106175614522151</v>
      </c>
      <c r="H294" s="307">
        <f t="shared" ca="1" si="128"/>
        <v>45.416442914856724</v>
      </c>
      <c r="I294" s="304">
        <f t="shared" ca="1" si="129"/>
        <v>51.893866121398837</v>
      </c>
      <c r="J294" s="306">
        <f t="shared" ca="1" si="130"/>
        <v>313.39951245686785</v>
      </c>
      <c r="K294" s="307">
        <f t="shared" ca="1" si="131"/>
        <v>1173.2462988334648</v>
      </c>
      <c r="L294" s="304">
        <f t="shared" ca="1" si="116"/>
        <v>1214.3830252991131</v>
      </c>
      <c r="M294" s="306">
        <f t="shared" ca="1" si="132"/>
        <v>1.0658065196559088</v>
      </c>
      <c r="N294" s="304">
        <f t="shared" ca="1" si="133"/>
        <v>61.066215353810591</v>
      </c>
      <c r="P294" s="310">
        <f t="shared" ca="1" si="134"/>
        <v>23</v>
      </c>
      <c r="Q294" s="304">
        <f t="shared" ca="1" si="135"/>
        <v>0</v>
      </c>
      <c r="R294" s="306">
        <f t="shared" ca="1" si="136"/>
        <v>0</v>
      </c>
      <c r="S294" s="307">
        <f t="shared" ca="1" si="137"/>
        <v>8.5499999999999989</v>
      </c>
      <c r="T294" s="304">
        <f t="shared" ca="1" si="117"/>
        <v>83.875499999999988</v>
      </c>
      <c r="U294" s="311">
        <f t="shared" ca="1" si="118"/>
        <v>0</v>
      </c>
      <c r="V294" s="306">
        <f t="shared" ca="1" si="119"/>
        <v>1.0892412508893188</v>
      </c>
      <c r="W294" s="304">
        <f t="shared" ca="1" si="120"/>
        <v>9.0899772338577165</v>
      </c>
      <c r="Y294" s="314" t="str">
        <f t="shared" ca="1" si="138"/>
        <v/>
      </c>
      <c r="Z294" s="315" t="str">
        <f t="shared" ca="1" si="139"/>
        <v/>
      </c>
      <c r="AA294" s="316" t="str">
        <f t="shared" ca="1" si="140"/>
        <v/>
      </c>
      <c r="AC294" s="310">
        <f t="shared" ca="1" si="141"/>
        <v>10.999999999999979</v>
      </c>
      <c r="AD294" s="323">
        <f t="shared" ca="1" si="142"/>
        <v>313.39951245686785</v>
      </c>
      <c r="AE294" s="324">
        <f t="shared" ca="1" si="121"/>
        <v>1173.2462988334648</v>
      </c>
      <c r="AG294" s="306">
        <f t="shared" ca="1" si="143"/>
        <v>-9.7316856540401044</v>
      </c>
      <c r="AH294" s="304">
        <f t="shared" ca="1" si="144"/>
        <v>-1.1038251714176586</v>
      </c>
    </row>
    <row r="295" spans="1:34" x14ac:dyDescent="0.3">
      <c r="A295" s="347">
        <f t="shared" ca="1" si="122"/>
        <v>0.1</v>
      </c>
      <c r="B295" s="304">
        <f t="shared" ca="1" si="123"/>
        <v>11.099999999999978</v>
      </c>
      <c r="D295" s="306">
        <f t="shared" ca="1" si="124"/>
        <v>-0.51435292753877604</v>
      </c>
      <c r="E295" s="307">
        <f t="shared" ca="1" si="125"/>
        <v>-10.740451564201683</v>
      </c>
      <c r="F295" s="304">
        <f t="shared" ca="1" si="126"/>
        <v>10.752760517050032</v>
      </c>
      <c r="G295" s="306">
        <f t="shared" ca="1" si="127"/>
        <v>25.054740321768275</v>
      </c>
      <c r="H295" s="307">
        <f t="shared" ca="1" si="128"/>
        <v>44.342397758436555</v>
      </c>
      <c r="I295" s="304">
        <f t="shared" ca="1" si="129"/>
        <v>50.93121097675413</v>
      </c>
      <c r="J295" s="306">
        <f t="shared" ca="1" si="130"/>
        <v>315.9075582536824</v>
      </c>
      <c r="K295" s="307">
        <f t="shared" ca="1" si="131"/>
        <v>1177.7342408671295</v>
      </c>
      <c r="L295" s="304">
        <f t="shared" ca="1" si="116"/>
        <v>1219.3668551640549</v>
      </c>
      <c r="M295" s="306">
        <f t="shared" ca="1" si="132"/>
        <v>1.0564878090290508</v>
      </c>
      <c r="N295" s="304">
        <f t="shared" ca="1" si="133"/>
        <v>60.532292564387916</v>
      </c>
      <c r="P295" s="310">
        <f t="shared" ca="1" si="134"/>
        <v>23</v>
      </c>
      <c r="Q295" s="304">
        <f t="shared" ca="1" si="135"/>
        <v>0</v>
      </c>
      <c r="R295" s="306">
        <f t="shared" ca="1" si="136"/>
        <v>0</v>
      </c>
      <c r="S295" s="307">
        <f t="shared" ca="1" si="137"/>
        <v>8.5499999999999989</v>
      </c>
      <c r="T295" s="304">
        <f t="shared" ca="1" si="117"/>
        <v>83.875499999999988</v>
      </c>
      <c r="U295" s="311">
        <f t="shared" ca="1" si="118"/>
        <v>0</v>
      </c>
      <c r="V295" s="306">
        <f t="shared" ca="1" si="119"/>
        <v>1.0887508216267843</v>
      </c>
      <c r="W295" s="304">
        <f t="shared" ca="1" si="120"/>
        <v>8.7519164227081507</v>
      </c>
      <c r="Y295" s="314" t="str">
        <f t="shared" ca="1" si="138"/>
        <v/>
      </c>
      <c r="Z295" s="315" t="str">
        <f t="shared" ca="1" si="139"/>
        <v/>
      </c>
      <c r="AA295" s="316" t="str">
        <f t="shared" ca="1" si="140"/>
        <v/>
      </c>
      <c r="AC295" s="310" t="e">
        <f t="shared" ca="1" si="141"/>
        <v>#N/A</v>
      </c>
      <c r="AD295" s="323" t="e">
        <f t="shared" ca="1" si="142"/>
        <v>#N/A</v>
      </c>
      <c r="AE295" s="324">
        <f t="shared" ca="1" si="121"/>
        <v>1177.7342408671295</v>
      </c>
      <c r="AG295" s="306">
        <f t="shared" ca="1" si="143"/>
        <v>-9.6486652025625652</v>
      </c>
      <c r="AH295" s="304">
        <f t="shared" ca="1" si="144"/>
        <v>-1.0631552320301425</v>
      </c>
    </row>
    <row r="296" spans="1:34" x14ac:dyDescent="0.3">
      <c r="A296" s="347">
        <f t="shared" ca="1" si="122"/>
        <v>0.1</v>
      </c>
      <c r="B296" s="304">
        <f t="shared" ca="1" si="123"/>
        <v>11.199999999999978</v>
      </c>
      <c r="D296" s="306">
        <f t="shared" ca="1" si="124"/>
        <v>-0.50355040596432143</v>
      </c>
      <c r="E296" s="307">
        <f t="shared" ca="1" si="125"/>
        <v>-10.701193926016963</v>
      </c>
      <c r="F296" s="304">
        <f t="shared" ca="1" si="126"/>
        <v>10.713034791951772</v>
      </c>
      <c r="G296" s="306">
        <f t="shared" ca="1" si="127"/>
        <v>25.004385281171842</v>
      </c>
      <c r="H296" s="307">
        <f t="shared" ca="1" si="128"/>
        <v>43.272278365834858</v>
      </c>
      <c r="I296" s="304">
        <f t="shared" ca="1" si="129"/>
        <v>49.977088333151045</v>
      </c>
      <c r="J296" s="306">
        <f t="shared" ca="1" si="130"/>
        <v>318.41051453382943</v>
      </c>
      <c r="K296" s="307">
        <f t="shared" ca="1" si="131"/>
        <v>1182.1149746733431</v>
      </c>
      <c r="L296" s="304">
        <f t="shared" ca="1" si="116"/>
        <v>1224.2471438041653</v>
      </c>
      <c r="M296" s="306">
        <f t="shared" ca="1" si="132"/>
        <v>1.046831509924292</v>
      </c>
      <c r="N296" s="304">
        <f t="shared" ca="1" si="133"/>
        <v>59.979027379969281</v>
      </c>
      <c r="P296" s="310">
        <f t="shared" ca="1" si="134"/>
        <v>23</v>
      </c>
      <c r="Q296" s="304">
        <f t="shared" ca="1" si="135"/>
        <v>0</v>
      </c>
      <c r="R296" s="306">
        <f t="shared" ca="1" si="136"/>
        <v>0</v>
      </c>
      <c r="S296" s="307">
        <f t="shared" ca="1" si="137"/>
        <v>8.5499999999999989</v>
      </c>
      <c r="T296" s="304">
        <f t="shared" ca="1" si="117"/>
        <v>83.875499999999988</v>
      </c>
      <c r="U296" s="311">
        <f t="shared" ca="1" si="118"/>
        <v>0</v>
      </c>
      <c r="V296" s="306">
        <f t="shared" ca="1" si="119"/>
        <v>1.0882723081990375</v>
      </c>
      <c r="W296" s="304">
        <f t="shared" ca="1" si="120"/>
        <v>8.4233750988933487</v>
      </c>
      <c r="Y296" s="314" t="str">
        <f t="shared" ca="1" si="138"/>
        <v/>
      </c>
      <c r="Z296" s="315" t="str">
        <f t="shared" ca="1" si="139"/>
        <v/>
      </c>
      <c r="AA296" s="316" t="str">
        <f t="shared" ca="1" si="140"/>
        <v/>
      </c>
      <c r="AC296" s="310" t="e">
        <f t="shared" ca="1" si="141"/>
        <v>#N/A</v>
      </c>
      <c r="AD296" s="323" t="e">
        <f t="shared" ca="1" si="142"/>
        <v>#N/A</v>
      </c>
      <c r="AE296" s="324">
        <f t="shared" ca="1" si="121"/>
        <v>1182.1149746733431</v>
      </c>
      <c r="AG296" s="306">
        <f t="shared" ca="1" si="143"/>
        <v>-9.5645266011896375</v>
      </c>
      <c r="AH296" s="304">
        <f t="shared" ca="1" si="144"/>
        <v>-1.0236159558722984</v>
      </c>
    </row>
    <row r="297" spans="1:34" x14ac:dyDescent="0.3">
      <c r="A297" s="347">
        <f t="shared" ca="1" si="122"/>
        <v>0.1</v>
      </c>
      <c r="B297" s="304">
        <f t="shared" ca="1" si="123"/>
        <v>11.299999999999978</v>
      </c>
      <c r="D297" s="306">
        <f t="shared" ca="1" si="124"/>
        <v>-0.49290730829300045</v>
      </c>
      <c r="E297" s="307">
        <f t="shared" ca="1" si="125"/>
        <v>-10.663019260948195</v>
      </c>
      <c r="F297" s="304">
        <f t="shared" ca="1" si="126"/>
        <v>10.674405715257446</v>
      </c>
      <c r="G297" s="306">
        <f t="shared" ca="1" si="127"/>
        <v>24.955094550342544</v>
      </c>
      <c r="H297" s="307">
        <f t="shared" ca="1" si="128"/>
        <v>42.205976439740041</v>
      </c>
      <c r="I297" s="304">
        <f t="shared" ca="1" si="129"/>
        <v>49.031634596945956</v>
      </c>
      <c r="J297" s="306">
        <f t="shared" ca="1" si="130"/>
        <v>320.90848852540512</v>
      </c>
      <c r="K297" s="307">
        <f t="shared" ca="1" si="131"/>
        <v>1186.3888874136219</v>
      </c>
      <c r="L297" s="304">
        <f t="shared" ca="1" si="116"/>
        <v>1229.0243488988294</v>
      </c>
      <c r="M297" s="306">
        <f t="shared" ca="1" si="132"/>
        <v>1.036821255396738</v>
      </c>
      <c r="N297" s="304">
        <f t="shared" ca="1" si="133"/>
        <v>59.405482043688714</v>
      </c>
      <c r="P297" s="310">
        <f t="shared" ca="1" si="134"/>
        <v>23</v>
      </c>
      <c r="Q297" s="304">
        <f t="shared" ca="1" si="135"/>
        <v>0</v>
      </c>
      <c r="R297" s="306">
        <f t="shared" ca="1" si="136"/>
        <v>0</v>
      </c>
      <c r="S297" s="307">
        <f t="shared" ca="1" si="137"/>
        <v>8.5499999999999989</v>
      </c>
      <c r="T297" s="304">
        <f t="shared" ca="1" si="117"/>
        <v>83.875499999999988</v>
      </c>
      <c r="U297" s="311">
        <f t="shared" ca="1" si="118"/>
        <v>0</v>
      </c>
      <c r="V297" s="306">
        <f t="shared" ca="1" si="119"/>
        <v>1.0878056536859781</v>
      </c>
      <c r="W297" s="304">
        <f t="shared" ca="1" si="120"/>
        <v>8.1042105652948795</v>
      </c>
      <c r="Y297" s="314" t="str">
        <f t="shared" ca="1" si="138"/>
        <v/>
      </c>
      <c r="Z297" s="315" t="str">
        <f t="shared" ca="1" si="139"/>
        <v/>
      </c>
      <c r="AA297" s="316" t="str">
        <f t="shared" ca="1" si="140"/>
        <v/>
      </c>
      <c r="AC297" s="310" t="e">
        <f t="shared" ca="1" si="141"/>
        <v>#N/A</v>
      </c>
      <c r="AD297" s="323" t="e">
        <f t="shared" ca="1" si="142"/>
        <v>#N/A</v>
      </c>
      <c r="AE297" s="324">
        <f t="shared" ca="1" si="121"/>
        <v>1186.3888874136219</v>
      </c>
      <c r="AG297" s="306">
        <f t="shared" ca="1" si="143"/>
        <v>-9.4791032796168366</v>
      </c>
      <c r="AH297" s="304">
        <f t="shared" ca="1" si="144"/>
        <v>-0.98519007004600578</v>
      </c>
    </row>
    <row r="298" spans="1:34" x14ac:dyDescent="0.3">
      <c r="A298" s="347">
        <f t="shared" ca="1" si="122"/>
        <v>0.1</v>
      </c>
      <c r="B298" s="304">
        <f t="shared" ca="1" si="123"/>
        <v>11.399999999999977</v>
      </c>
      <c r="D298" s="306">
        <f t="shared" ca="1" si="124"/>
        <v>-0.48242238293586504</v>
      </c>
      <c r="E298" s="307">
        <f t="shared" ca="1" si="125"/>
        <v>-10.625909861095472</v>
      </c>
      <c r="F298" s="304">
        <f t="shared" ca="1" si="126"/>
        <v>10.636855349758383</v>
      </c>
      <c r="G298" s="306">
        <f t="shared" ca="1" si="127"/>
        <v>24.906852312048958</v>
      </c>
      <c r="H298" s="307">
        <f t="shared" ca="1" si="128"/>
        <v>41.143385453630493</v>
      </c>
      <c r="I298" s="304">
        <f t="shared" ca="1" si="129"/>
        <v>48.095004508578967</v>
      </c>
      <c r="J298" s="306">
        <f t="shared" ca="1" si="130"/>
        <v>323.40158586852471</v>
      </c>
      <c r="K298" s="307">
        <f t="shared" ca="1" si="131"/>
        <v>1190.5563555082904</v>
      </c>
      <c r="L298" s="304">
        <f t="shared" ca="1" si="116"/>
        <v>1233.6989184494973</v>
      </c>
      <c r="M298" s="306">
        <f t="shared" ca="1" si="132"/>
        <v>1.0264397654792417</v>
      </c>
      <c r="N298" s="304">
        <f t="shared" ca="1" si="133"/>
        <v>58.810666486358556</v>
      </c>
      <c r="P298" s="310">
        <f t="shared" ca="1" si="134"/>
        <v>23</v>
      </c>
      <c r="Q298" s="304">
        <f t="shared" ca="1" si="135"/>
        <v>0</v>
      </c>
      <c r="R298" s="306">
        <f t="shared" ca="1" si="136"/>
        <v>0</v>
      </c>
      <c r="S298" s="307">
        <f t="shared" ca="1" si="137"/>
        <v>8.5499999999999989</v>
      </c>
      <c r="T298" s="304">
        <f t="shared" ca="1" si="117"/>
        <v>83.875499999999988</v>
      </c>
      <c r="U298" s="311">
        <f t="shared" ca="1" si="118"/>
        <v>0</v>
      </c>
      <c r="V298" s="306">
        <f t="shared" ca="1" si="119"/>
        <v>1.0873508027793191</v>
      </c>
      <c r="W298" s="304">
        <f t="shared" ca="1" si="120"/>
        <v>7.7942849695055321</v>
      </c>
      <c r="Y298" s="314" t="str">
        <f t="shared" ca="1" si="138"/>
        <v/>
      </c>
      <c r="Z298" s="315" t="str">
        <f t="shared" ca="1" si="139"/>
        <v/>
      </c>
      <c r="AA298" s="316" t="str">
        <f t="shared" ca="1" si="140"/>
        <v/>
      </c>
      <c r="AC298" s="310" t="e">
        <f t="shared" ca="1" si="141"/>
        <v>#N/A</v>
      </c>
      <c r="AD298" s="323" t="e">
        <f t="shared" ca="1" si="142"/>
        <v>#N/A</v>
      </c>
      <c r="AE298" s="324">
        <f t="shared" ca="1" si="121"/>
        <v>1190.5563555082904</v>
      </c>
      <c r="AG298" s="306">
        <f t="shared" ca="1" si="143"/>
        <v>-9.3922179265107992</v>
      </c>
      <c r="AH298" s="304">
        <f t="shared" ca="1" si="144"/>
        <v>-0.94786088482981057</v>
      </c>
    </row>
    <row r="299" spans="1:34" x14ac:dyDescent="0.3">
      <c r="A299" s="347">
        <f t="shared" ca="1" si="122"/>
        <v>0.1</v>
      </c>
      <c r="B299" s="304">
        <f t="shared" ca="1" si="123"/>
        <v>11.499999999999977</v>
      </c>
      <c r="D299" s="306">
        <f t="shared" ca="1" si="124"/>
        <v>-0.47209460908576778</v>
      </c>
      <c r="E299" s="307">
        <f t="shared" ca="1" si="125"/>
        <v>-10.589848462135876</v>
      </c>
      <c r="F299" s="304">
        <f t="shared" ca="1" si="126"/>
        <v>10.600366209283971</v>
      </c>
      <c r="G299" s="306">
        <f t="shared" ca="1" si="127"/>
        <v>24.859642851140382</v>
      </c>
      <c r="H299" s="307">
        <f t="shared" ca="1" si="128"/>
        <v>40.084400607416903</v>
      </c>
      <c r="I299" s="304">
        <f t="shared" ca="1" si="129"/>
        <v>47.167372353589293</v>
      </c>
      <c r="J299" s="306">
        <f t="shared" ca="1" si="130"/>
        <v>325.88991062668418</v>
      </c>
      <c r="K299" s="307">
        <f t="shared" ca="1" si="131"/>
        <v>1194.6177448113428</v>
      </c>
      <c r="L299" s="304">
        <f t="shared" ca="1" si="116"/>
        <v>1238.2712909804568</v>
      </c>
      <c r="M299" s="306">
        <f t="shared" ca="1" si="132"/>
        <v>1.0156688008991839</v>
      </c>
      <c r="N299" s="304">
        <f t="shared" ca="1" si="133"/>
        <v>58.193535674636351</v>
      </c>
      <c r="P299" s="310">
        <f t="shared" ca="1" si="134"/>
        <v>23</v>
      </c>
      <c r="Q299" s="304">
        <f t="shared" ca="1" si="135"/>
        <v>0</v>
      </c>
      <c r="R299" s="306">
        <f t="shared" ca="1" si="136"/>
        <v>0</v>
      </c>
      <c r="S299" s="307">
        <f t="shared" ca="1" si="137"/>
        <v>8.5499999999999989</v>
      </c>
      <c r="T299" s="304">
        <f t="shared" ca="1" si="117"/>
        <v>83.875499999999988</v>
      </c>
      <c r="U299" s="311">
        <f t="shared" ca="1" si="118"/>
        <v>0</v>
      </c>
      <c r="V299" s="306">
        <f t="shared" ca="1" si="119"/>
        <v>1.0869077017558244</v>
      </c>
      <c r="W299" s="304">
        <f t="shared" ca="1" si="120"/>
        <v>7.4934651678735733</v>
      </c>
      <c r="Y299" s="314" t="str">
        <f t="shared" ca="1" si="138"/>
        <v/>
      </c>
      <c r="Z299" s="315" t="str">
        <f t="shared" ca="1" si="139"/>
        <v/>
      </c>
      <c r="AA299" s="316" t="str">
        <f t="shared" ca="1" si="140"/>
        <v/>
      </c>
      <c r="AC299" s="310" t="e">
        <f t="shared" ca="1" si="141"/>
        <v>#N/A</v>
      </c>
      <c r="AD299" s="323" t="e">
        <f t="shared" ca="1" si="142"/>
        <v>#N/A</v>
      </c>
      <c r="AE299" s="324">
        <f t="shared" ca="1" si="121"/>
        <v>1194.6177448113428</v>
      </c>
      <c r="AG299" s="306">
        <f t="shared" ca="1" si="143"/>
        <v>-9.3036815871217993</v>
      </c>
      <c r="AH299" s="304">
        <f t="shared" ca="1" si="144"/>
        <v>-0.91161227713515003</v>
      </c>
    </row>
    <row r="300" spans="1:34" x14ac:dyDescent="0.3">
      <c r="A300" s="347">
        <f t="shared" ca="1" si="122"/>
        <v>0.1</v>
      </c>
      <c r="B300" s="304">
        <f t="shared" ca="1" si="123"/>
        <v>11.599999999999977</v>
      </c>
      <c r="D300" s="306">
        <f t="shared" ca="1" si="124"/>
        <v>-0.4619232055551013</v>
      </c>
      <c r="E300" s="307">
        <f t="shared" ca="1" si="125"/>
        <v>-10.554818215298033</v>
      </c>
      <c r="F300" s="304">
        <f t="shared" ca="1" si="126"/>
        <v>10.564921230459669</v>
      </c>
      <c r="G300" s="306">
        <f t="shared" ca="1" si="127"/>
        <v>24.813450530584873</v>
      </c>
      <c r="H300" s="307">
        <f t="shared" ca="1" si="128"/>
        <v>39.0289187858871</v>
      </c>
      <c r="I300" s="304">
        <f t="shared" ca="1" si="129"/>
        <v>46.248933272337787</v>
      </c>
      <c r="J300" s="306">
        <f t="shared" ca="1" si="130"/>
        <v>328.37356529577045</v>
      </c>
      <c r="K300" s="307">
        <f t="shared" ca="1" si="131"/>
        <v>1198.5734107810081</v>
      </c>
      <c r="L300" s="304">
        <f t="shared" ca="1" si="116"/>
        <v>1242.7418957355042</v>
      </c>
      <c r="M300" s="306">
        <f t="shared" ca="1" si="132"/>
        <v>1.0044891166937902</v>
      </c>
      <c r="N300" s="304">
        <f t="shared" ca="1" si="133"/>
        <v>57.552986953378223</v>
      </c>
      <c r="P300" s="310">
        <f t="shared" ca="1" si="134"/>
        <v>23</v>
      </c>
      <c r="Q300" s="304">
        <f t="shared" ca="1" si="135"/>
        <v>0</v>
      </c>
      <c r="R300" s="306">
        <f t="shared" ca="1" si="136"/>
        <v>0</v>
      </c>
      <c r="S300" s="307">
        <f t="shared" ca="1" si="137"/>
        <v>8.5499999999999989</v>
      </c>
      <c r="T300" s="304">
        <f t="shared" ca="1" si="117"/>
        <v>83.875499999999988</v>
      </c>
      <c r="U300" s="311">
        <f t="shared" ca="1" si="118"/>
        <v>0</v>
      </c>
      <c r="V300" s="306">
        <f t="shared" ca="1" si="119"/>
        <v>1.0864762984512888</v>
      </c>
      <c r="W300" s="304">
        <f t="shared" ca="1" si="120"/>
        <v>7.2016225947779304</v>
      </c>
      <c r="Y300" s="314" t="str">
        <f t="shared" ca="1" si="138"/>
        <v/>
      </c>
      <c r="Z300" s="315" t="str">
        <f t="shared" ca="1" si="139"/>
        <v/>
      </c>
      <c r="AA300" s="316" t="str">
        <f t="shared" ca="1" si="140"/>
        <v/>
      </c>
      <c r="AC300" s="310" t="e">
        <f t="shared" ca="1" si="141"/>
        <v>#N/A</v>
      </c>
      <c r="AD300" s="323" t="e">
        <f t="shared" ca="1" si="142"/>
        <v>#N/A</v>
      </c>
      <c r="AE300" s="324">
        <f t="shared" ca="1" si="121"/>
        <v>1198.5734107810081</v>
      </c>
      <c r="AG300" s="306">
        <f t="shared" ca="1" si="143"/>
        <v>-9.2132927044885893</v>
      </c>
      <c r="AH300" s="304">
        <f t="shared" ca="1" si="144"/>
        <v>-0.87642867460509644</v>
      </c>
    </row>
    <row r="301" spans="1:34" x14ac:dyDescent="0.3">
      <c r="A301" s="347">
        <f t="shared" ca="1" si="122"/>
        <v>0.1</v>
      </c>
      <c r="B301" s="304">
        <f t="shared" ca="1" si="123"/>
        <v>11.699999999999976</v>
      </c>
      <c r="D301" s="306">
        <f t="shared" ca="1" si="124"/>
        <v>-0.45190764059762134</v>
      </c>
      <c r="E301" s="307">
        <f t="shared" ca="1" si="125"/>
        <v>-10.520802658496311</v>
      </c>
      <c r="F301" s="304">
        <f t="shared" ca="1" si="126"/>
        <v>10.530503743632286</v>
      </c>
      <c r="G301" s="306">
        <f t="shared" ca="1" si="127"/>
        <v>24.768259766525112</v>
      </c>
      <c r="H301" s="307">
        <f t="shared" ca="1" si="128"/>
        <v>37.976838520037468</v>
      </c>
      <c r="I301" s="304">
        <f t="shared" ca="1" si="129"/>
        <v>45.339904673908038</v>
      </c>
      <c r="J301" s="306">
        <f t="shared" ca="1" si="130"/>
        <v>330.85265081062596</v>
      </c>
      <c r="K301" s="307">
        <f t="shared" ca="1" si="131"/>
        <v>1202.4236986463043</v>
      </c>
      <c r="L301" s="304">
        <f t="shared" ca="1" si="116"/>
        <v>1247.1111528707761</v>
      </c>
      <c r="M301" s="306">
        <f t="shared" ca="1" si="132"/>
        <v>0.99288041637664626</v>
      </c>
      <c r="N301" s="304">
        <f t="shared" ca="1" si="133"/>
        <v>56.887857419573692</v>
      </c>
      <c r="P301" s="310">
        <f t="shared" ca="1" si="134"/>
        <v>23</v>
      </c>
      <c r="Q301" s="304">
        <f t="shared" ca="1" si="135"/>
        <v>0</v>
      </c>
      <c r="R301" s="306">
        <f t="shared" ca="1" si="136"/>
        <v>0</v>
      </c>
      <c r="S301" s="307">
        <f t="shared" ca="1" si="137"/>
        <v>8.5499999999999989</v>
      </c>
      <c r="T301" s="304">
        <f t="shared" ca="1" si="117"/>
        <v>83.875499999999988</v>
      </c>
      <c r="U301" s="311">
        <f t="shared" ca="1" si="118"/>
        <v>0</v>
      </c>
      <c r="V301" s="306">
        <f t="shared" ca="1" si="119"/>
        <v>1.0860565422352384</v>
      </c>
      <c r="W301" s="304">
        <f t="shared" ca="1" si="120"/>
        <v>6.9186331368802128</v>
      </c>
      <c r="Y301" s="314" t="str">
        <f t="shared" ca="1" si="138"/>
        <v/>
      </c>
      <c r="Z301" s="315" t="str">
        <f t="shared" ca="1" si="139"/>
        <v/>
      </c>
      <c r="AA301" s="316" t="str">
        <f t="shared" ca="1" si="140"/>
        <v/>
      </c>
      <c r="AC301" s="310" t="e">
        <f t="shared" ca="1" si="141"/>
        <v>#N/A</v>
      </c>
      <c r="AD301" s="323" t="e">
        <f t="shared" ca="1" si="142"/>
        <v>#N/A</v>
      </c>
      <c r="AE301" s="324">
        <f t="shared" ca="1" si="121"/>
        <v>1202.4236986463043</v>
      </c>
      <c r="AG301" s="306">
        <f t="shared" ca="1" si="143"/>
        <v>-9.1208361049369859</v>
      </c>
      <c r="AH301" s="304">
        <f t="shared" ca="1" si="144"/>
        <v>-0.84229504032490421</v>
      </c>
    </row>
    <row r="302" spans="1:34" x14ac:dyDescent="0.3">
      <c r="A302" s="347">
        <f t="shared" ca="1" si="122"/>
        <v>0.1</v>
      </c>
      <c r="B302" s="304">
        <f t="shared" ca="1" si="123"/>
        <v>11.799999999999976</v>
      </c>
      <c r="D302" s="306">
        <f t="shared" ca="1" si="124"/>
        <v>-0.44204764275945585</v>
      </c>
      <c r="E302" s="307">
        <f t="shared" ca="1" si="125"/>
        <v>-10.487785686418222</v>
      </c>
      <c r="F302" s="304">
        <f t="shared" ca="1" si="126"/>
        <v>10.497097442755694</v>
      </c>
      <c r="G302" s="306">
        <f t="shared" ca="1" si="127"/>
        <v>24.724055002249166</v>
      </c>
      <c r="H302" s="307">
        <f t="shared" ca="1" si="128"/>
        <v>36.928059951395646</v>
      </c>
      <c r="I302" s="304">
        <f t="shared" ca="1" si="129"/>
        <v>44.440527759333747</v>
      </c>
      <c r="J302" s="306">
        <f t="shared" ca="1" si="130"/>
        <v>333.32726654906469</v>
      </c>
      <c r="K302" s="307">
        <f t="shared" ca="1" si="131"/>
        <v>1206.1689435698759</v>
      </c>
      <c r="L302" s="304">
        <f t="shared" ca="1" si="116"/>
        <v>1251.3794736440029</v>
      </c>
      <c r="M302" s="306">
        <f t="shared" ca="1" si="132"/>
        <v>0.98082130748528129</v>
      </c>
      <c r="N302" s="304">
        <f t="shared" ca="1" si="133"/>
        <v>56.196921375409801</v>
      </c>
      <c r="P302" s="310">
        <f t="shared" ca="1" si="134"/>
        <v>23</v>
      </c>
      <c r="Q302" s="304">
        <f t="shared" ca="1" si="135"/>
        <v>0</v>
      </c>
      <c r="R302" s="306">
        <f t="shared" ca="1" si="136"/>
        <v>0</v>
      </c>
      <c r="S302" s="307">
        <f t="shared" ca="1" si="137"/>
        <v>8.5499999999999989</v>
      </c>
      <c r="T302" s="304">
        <f t="shared" ca="1" si="117"/>
        <v>83.875499999999988</v>
      </c>
      <c r="U302" s="311">
        <f t="shared" ca="1" si="118"/>
        <v>0</v>
      </c>
      <c r="V302" s="306">
        <f t="shared" ca="1" si="119"/>
        <v>1.0856483839862907</v>
      </c>
      <c r="W302" s="304">
        <f t="shared" ca="1" si="120"/>
        <v>6.6443770121057186</v>
      </c>
      <c r="Y302" s="314" t="str">
        <f t="shared" ca="1" si="138"/>
        <v/>
      </c>
      <c r="Z302" s="315" t="str">
        <f t="shared" ca="1" si="139"/>
        <v/>
      </c>
      <c r="AA302" s="316" t="str">
        <f t="shared" ca="1" si="140"/>
        <v/>
      </c>
      <c r="AC302" s="310" t="e">
        <f t="shared" ca="1" si="141"/>
        <v>#N/A</v>
      </c>
      <c r="AD302" s="323" t="e">
        <f t="shared" ca="1" si="142"/>
        <v>#N/A</v>
      </c>
      <c r="AE302" s="324">
        <f t="shared" ca="1" si="121"/>
        <v>1206.1689435698759</v>
      </c>
      <c r="AG302" s="306">
        <f t="shared" ca="1" si="143"/>
        <v>-9.0260819301285284</v>
      </c>
      <c r="AH302" s="304">
        <f t="shared" ca="1" si="144"/>
        <v>-0.80919685811464481</v>
      </c>
    </row>
    <row r="303" spans="1:34" x14ac:dyDescent="0.3">
      <c r="A303" s="347">
        <f t="shared" ca="1" si="122"/>
        <v>0.1</v>
      </c>
      <c r="B303" s="304">
        <f t="shared" ca="1" si="123"/>
        <v>11.899999999999975</v>
      </c>
      <c r="D303" s="306">
        <f t="shared" ca="1" si="124"/>
        <v>-0.43234321280131438</v>
      </c>
      <c r="E303" s="307">
        <f t="shared" ca="1" si="125"/>
        <v>-10.455751519338294</v>
      </c>
      <c r="F303" s="304">
        <f t="shared" ca="1" si="126"/>
        <v>10.464686354009871</v>
      </c>
      <c r="G303" s="306">
        <f t="shared" ca="1" si="127"/>
        <v>24.680820680969035</v>
      </c>
      <c r="H303" s="307">
        <f t="shared" ca="1" si="128"/>
        <v>35.882484799461814</v>
      </c>
      <c r="I303" s="304">
        <f t="shared" ca="1" si="129"/>
        <v>43.551069158744625</v>
      </c>
      <c r="J303" s="306">
        <f t="shared" ca="1" si="130"/>
        <v>335.7975103332256</v>
      </c>
      <c r="K303" s="307">
        <f t="shared" ca="1" si="131"/>
        <v>1209.8094708074188</v>
      </c>
      <c r="L303" s="304">
        <f t="shared" ca="1" si="116"/>
        <v>1255.54726060046</v>
      </c>
      <c r="M303" s="306">
        <f t="shared" ca="1" si="132"/>
        <v>0.96828925955262113</v>
      </c>
      <c r="N303" s="304">
        <f t="shared" ca="1" si="133"/>
        <v>55.478887920212721</v>
      </c>
      <c r="P303" s="310">
        <f t="shared" ca="1" si="134"/>
        <v>23</v>
      </c>
      <c r="Q303" s="304">
        <f t="shared" ca="1" si="135"/>
        <v>0</v>
      </c>
      <c r="R303" s="306">
        <f t="shared" ca="1" si="136"/>
        <v>0</v>
      </c>
      <c r="S303" s="307">
        <f t="shared" ca="1" si="137"/>
        <v>8.5499999999999989</v>
      </c>
      <c r="T303" s="304">
        <f t="shared" ca="1" si="117"/>
        <v>83.875499999999988</v>
      </c>
      <c r="U303" s="311">
        <f t="shared" ca="1" si="118"/>
        <v>0</v>
      </c>
      <c r="V303" s="306">
        <f t="shared" ca="1" si="119"/>
        <v>1.0852517760681544</v>
      </c>
      <c r="W303" s="304">
        <f t="shared" ca="1" si="120"/>
        <v>6.3787386531118608</v>
      </c>
      <c r="Y303" s="314" t="str">
        <f t="shared" ca="1" si="138"/>
        <v/>
      </c>
      <c r="Z303" s="315" t="str">
        <f t="shared" ca="1" si="139"/>
        <v/>
      </c>
      <c r="AA303" s="316" t="str">
        <f t="shared" ca="1" si="140"/>
        <v/>
      </c>
      <c r="AC303" s="310" t="e">
        <f t="shared" ca="1" si="141"/>
        <v>#N/A</v>
      </c>
      <c r="AD303" s="323" t="e">
        <f t="shared" ca="1" si="142"/>
        <v>#N/A</v>
      </c>
      <c r="AE303" s="324">
        <f t="shared" ca="1" si="121"/>
        <v>1209.8094708074188</v>
      </c>
      <c r="AG303" s="306">
        <f t="shared" ca="1" si="143"/>
        <v>-8.9287845199549967</v>
      </c>
      <c r="AH303" s="304">
        <f t="shared" ca="1" si="144"/>
        <v>-0.777120118374938</v>
      </c>
    </row>
    <row r="304" spans="1:34" x14ac:dyDescent="0.3">
      <c r="A304" s="347">
        <f t="shared" ca="1" si="122"/>
        <v>0.1</v>
      </c>
      <c r="B304" s="304">
        <f t="shared" ca="1" si="123"/>
        <v>11.999999999999975</v>
      </c>
      <c r="D304" s="306">
        <f t="shared" ca="1" si="124"/>
        <v>-0.42279463672873102</v>
      </c>
      <c r="E304" s="307">
        <f t="shared" ca="1" si="125"/>
        <v>-10.424684670409308</v>
      </c>
      <c r="F304" s="304">
        <f t="shared" ca="1" si="126"/>
        <v>10.433254802903713</v>
      </c>
      <c r="G304" s="306">
        <f t="shared" ca="1" si="127"/>
        <v>24.638541217296162</v>
      </c>
      <c r="H304" s="307">
        <f t="shared" ca="1" si="128"/>
        <v>34.84001633242088</v>
      </c>
      <c r="I304" s="304">
        <f t="shared" ca="1" si="129"/>
        <v>42.671822686167921</v>
      </c>
      <c r="J304" s="306">
        <f t="shared" ca="1" si="130"/>
        <v>338.26347842813885</v>
      </c>
      <c r="K304" s="307">
        <f t="shared" ca="1" si="131"/>
        <v>1213.3455958640129</v>
      </c>
      <c r="L304" s="304">
        <f t="shared" ca="1" si="116"/>
        <v>1259.6149077558985</v>
      </c>
      <c r="M304" s="306">
        <f t="shared" ca="1" si="132"/>
        <v>0.95526056579944552</v>
      </c>
      <c r="N304" s="304">
        <f t="shared" ca="1" si="133"/>
        <v>54.732398755587298</v>
      </c>
      <c r="P304" s="310">
        <f t="shared" ca="1" si="134"/>
        <v>23</v>
      </c>
      <c r="Q304" s="304">
        <f t="shared" ca="1" si="135"/>
        <v>0</v>
      </c>
      <c r="R304" s="306">
        <f t="shared" ca="1" si="136"/>
        <v>0</v>
      </c>
      <c r="S304" s="307">
        <f t="shared" ca="1" si="137"/>
        <v>8.5499999999999989</v>
      </c>
      <c r="T304" s="304">
        <f t="shared" ca="1" si="117"/>
        <v>83.875499999999988</v>
      </c>
      <c r="U304" s="311">
        <f t="shared" ca="1" si="118"/>
        <v>0</v>
      </c>
      <c r="V304" s="306">
        <f t="shared" ca="1" si="119"/>
        <v>1.0848666723062101</v>
      </c>
      <c r="W304" s="304">
        <f t="shared" ca="1" si="120"/>
        <v>6.1216065950067362</v>
      </c>
      <c r="Y304" s="314" t="str">
        <f t="shared" ca="1" si="138"/>
        <v/>
      </c>
      <c r="Z304" s="315" t="str">
        <f t="shared" ca="1" si="139"/>
        <v/>
      </c>
      <c r="AA304" s="316" t="str">
        <f t="shared" ca="1" si="140"/>
        <v/>
      </c>
      <c r="AC304" s="310">
        <f t="shared" ca="1" si="141"/>
        <v>11.999999999999975</v>
      </c>
      <c r="AD304" s="323">
        <f t="shared" ca="1" si="142"/>
        <v>338.26347842813885</v>
      </c>
      <c r="AE304" s="324">
        <f t="shared" ca="1" si="121"/>
        <v>1213.3455958640129</v>
      </c>
      <c r="AG304" s="306">
        <f t="shared" ca="1" si="143"/>
        <v>-8.8286812532113998</v>
      </c>
      <c r="AH304" s="304">
        <f t="shared" ca="1" si="144"/>
        <v>-0.74605130445752765</v>
      </c>
    </row>
    <row r="305" spans="1:34" x14ac:dyDescent="0.3">
      <c r="A305" s="347">
        <f t="shared" ca="1" si="122"/>
        <v>0.1</v>
      </c>
      <c r="B305" s="304">
        <f t="shared" ca="1" si="123"/>
        <v>12.099999999999975</v>
      </c>
      <c r="D305" s="306">
        <f t="shared" ca="1" si="124"/>
        <v>-0.41340249995912504</v>
      </c>
      <c r="E305" s="307">
        <f t="shared" ca="1" si="125"/>
        <v>-10.394569911157269</v>
      </c>
      <c r="F305" s="304">
        <f t="shared" ca="1" si="126"/>
        <v>10.40278737958767</v>
      </c>
      <c r="G305" s="306">
        <f t="shared" ca="1" si="127"/>
        <v>24.59720096730025</v>
      </c>
      <c r="H305" s="307">
        <f t="shared" ca="1" si="128"/>
        <v>33.800559341305153</v>
      </c>
      <c r="I305" s="304">
        <f t="shared" ca="1" si="129"/>
        <v>41.803111214487942</v>
      </c>
      <c r="J305" s="306">
        <f t="shared" ca="1" si="130"/>
        <v>340.72526553736867</v>
      </c>
      <c r="K305" s="307">
        <f t="shared" ca="1" si="131"/>
        <v>1216.7776246476992</v>
      </c>
      <c r="L305" s="304">
        <f t="shared" ca="1" si="116"/>
        <v>1263.5828007767468</v>
      </c>
      <c r="M305" s="306">
        <f t="shared" ca="1" si="132"/>
        <v>0.94171031014673723</v>
      </c>
      <c r="N305" s="304">
        <f t="shared" ca="1" si="133"/>
        <v>53.956026295363827</v>
      </c>
      <c r="P305" s="310">
        <f t="shared" ca="1" si="134"/>
        <v>23</v>
      </c>
      <c r="Q305" s="304">
        <f t="shared" ca="1" si="135"/>
        <v>0</v>
      </c>
      <c r="R305" s="306">
        <f t="shared" ca="1" si="136"/>
        <v>0</v>
      </c>
      <c r="S305" s="307">
        <f t="shared" ca="1" si="137"/>
        <v>8.5499999999999989</v>
      </c>
      <c r="T305" s="304">
        <f t="shared" ca="1" si="117"/>
        <v>83.875499999999988</v>
      </c>
      <c r="U305" s="311">
        <f t="shared" ca="1" si="118"/>
        <v>0</v>
      </c>
      <c r="V305" s="306">
        <f t="shared" ca="1" si="119"/>
        <v>1.0844930279646383</v>
      </c>
      <c r="W305" s="304">
        <f t="shared" ca="1" si="120"/>
        <v>5.8728733670842699</v>
      </c>
      <c r="Y305" s="314" t="str">
        <f t="shared" ca="1" si="138"/>
        <v/>
      </c>
      <c r="Z305" s="315" t="str">
        <f t="shared" ca="1" si="139"/>
        <v/>
      </c>
      <c r="AA305" s="316" t="str">
        <f t="shared" ca="1" si="140"/>
        <v/>
      </c>
      <c r="AC305" s="310" t="e">
        <f t="shared" ca="1" si="141"/>
        <v>#N/A</v>
      </c>
      <c r="AD305" s="323" t="e">
        <f t="shared" ca="1" si="142"/>
        <v>#N/A</v>
      </c>
      <c r="AE305" s="324">
        <f t="shared" ca="1" si="121"/>
        <v>1216.7776246476992</v>
      </c>
      <c r="AG305" s="306">
        <f t="shared" ca="1" si="143"/>
        <v>-8.7254913563483125</v>
      </c>
      <c r="AH305" s="304">
        <f t="shared" ca="1" si="144"/>
        <v>-0.71597737953295171</v>
      </c>
    </row>
    <row r="306" spans="1:34" x14ac:dyDescent="0.3">
      <c r="A306" s="347">
        <f t="shared" ca="1" si="122"/>
        <v>0.1</v>
      </c>
      <c r="B306" s="304">
        <f t="shared" ca="1" si="123"/>
        <v>12.199999999999974</v>
      </c>
      <c r="D306" s="306">
        <f t="shared" ca="1" si="124"/>
        <v>-0.40416770264292323</v>
      </c>
      <c r="E306" s="307">
        <f t="shared" ca="1" si="125"/>
        <v>-10.365392234879989</v>
      </c>
      <c r="F306" s="304">
        <f t="shared" ca="1" si="126"/>
        <v>10.373268902075663</v>
      </c>
      <c r="G306" s="306">
        <f t="shared" ca="1" si="127"/>
        <v>24.556784197035956</v>
      </c>
      <c r="H306" s="307">
        <f t="shared" ca="1" si="128"/>
        <v>32.764020117817154</v>
      </c>
      <c r="I306" s="304">
        <f t="shared" ca="1" si="129"/>
        <v>40.945288671354142</v>
      </c>
      <c r="J306" s="306">
        <f t="shared" ca="1" si="130"/>
        <v>343.18296479558546</v>
      </c>
      <c r="K306" s="307">
        <f t="shared" ca="1" si="131"/>
        <v>1220.1058536206554</v>
      </c>
      <c r="L306" s="304">
        <f t="shared" ca="1" si="116"/>
        <v>1267.4513171578922</v>
      </c>
      <c r="M306" s="306">
        <f t="shared" ca="1" si="132"/>
        <v>0.92761234150227645</v>
      </c>
      <c r="N306" s="304">
        <f t="shared" ca="1" si="133"/>
        <v>53.148272192328456</v>
      </c>
      <c r="P306" s="310">
        <f t="shared" ca="1" si="134"/>
        <v>23</v>
      </c>
      <c r="Q306" s="304">
        <f t="shared" ca="1" si="135"/>
        <v>0</v>
      </c>
      <c r="R306" s="306">
        <f t="shared" ca="1" si="136"/>
        <v>0</v>
      </c>
      <c r="S306" s="307">
        <f t="shared" ca="1" si="137"/>
        <v>8.5499999999999989</v>
      </c>
      <c r="T306" s="304">
        <f t="shared" ca="1" si="117"/>
        <v>83.875499999999988</v>
      </c>
      <c r="U306" s="311">
        <f t="shared" ca="1" si="118"/>
        <v>0</v>
      </c>
      <c r="V306" s="306">
        <f t="shared" ca="1" si="119"/>
        <v>1.0841307997240475</v>
      </c>
      <c r="W306" s="304">
        <f t="shared" ca="1" si="120"/>
        <v>5.632435388344665</v>
      </c>
      <c r="Y306" s="314" t="str">
        <f t="shared" ca="1" si="138"/>
        <v/>
      </c>
      <c r="Z306" s="315" t="str">
        <f t="shared" ca="1" si="139"/>
        <v/>
      </c>
      <c r="AA306" s="316" t="str">
        <f t="shared" ca="1" si="140"/>
        <v/>
      </c>
      <c r="AC306" s="310" t="e">
        <f t="shared" ca="1" si="141"/>
        <v>#N/A</v>
      </c>
      <c r="AD306" s="323" t="e">
        <f t="shared" ca="1" si="142"/>
        <v>#N/A</v>
      </c>
      <c r="AE306" s="324">
        <f t="shared" ca="1" si="121"/>
        <v>1220.1058536206554</v>
      </c>
      <c r="AG306" s="306">
        <f t="shared" ca="1" si="143"/>
        <v>-8.6189146948587485</v>
      </c>
      <c r="AH306" s="304">
        <f t="shared" ca="1" si="144"/>
        <v>-0.68688577392798489</v>
      </c>
    </row>
    <row r="307" spans="1:34" x14ac:dyDescent="0.3">
      <c r="A307" s="347">
        <f t="shared" ca="1" si="122"/>
        <v>0.1</v>
      </c>
      <c r="B307" s="304">
        <f t="shared" ca="1" si="123"/>
        <v>12.299999999999974</v>
      </c>
      <c r="D307" s="306">
        <f t="shared" ca="1" si="124"/>
        <v>-0.39509147613999851</v>
      </c>
      <c r="E307" s="307">
        <f t="shared" ca="1" si="125"/>
        <v>-10.337136817620911</v>
      </c>
      <c r="F307" s="304">
        <f t="shared" ca="1" si="126"/>
        <v>10.34468437704758</v>
      </c>
      <c r="G307" s="306">
        <f t="shared" ca="1" si="127"/>
        <v>24.517275049421958</v>
      </c>
      <c r="H307" s="307">
        <f t="shared" ca="1" si="128"/>
        <v>31.730306436055063</v>
      </c>
      <c r="I307" s="304">
        <f t="shared" ca="1" si="129"/>
        <v>40.09874215452357</v>
      </c>
      <c r="J307" s="306">
        <f t="shared" ca="1" si="130"/>
        <v>345.63666775790836</v>
      </c>
      <c r="K307" s="307">
        <f t="shared" ca="1" si="131"/>
        <v>1223.330569948349</v>
      </c>
      <c r="L307" s="304">
        <f t="shared" ca="1" si="116"/>
        <v>1271.2208263983655</v>
      </c>
      <c r="M307" s="306">
        <f t="shared" ca="1" si="132"/>
        <v>0.91293925769118711</v>
      </c>
      <c r="N307" s="304">
        <f t="shared" ca="1" si="133"/>
        <v>52.307566417511303</v>
      </c>
      <c r="P307" s="310">
        <f t="shared" ca="1" si="134"/>
        <v>23</v>
      </c>
      <c r="Q307" s="304">
        <f t="shared" ca="1" si="135"/>
        <v>0</v>
      </c>
      <c r="R307" s="306">
        <f t="shared" ca="1" si="136"/>
        <v>0</v>
      </c>
      <c r="S307" s="307">
        <f t="shared" ca="1" si="137"/>
        <v>8.5499999999999989</v>
      </c>
      <c r="T307" s="304">
        <f t="shared" ca="1" si="117"/>
        <v>83.875499999999988</v>
      </c>
      <c r="U307" s="311">
        <f t="shared" ca="1" si="118"/>
        <v>0</v>
      </c>
      <c r="V307" s="306">
        <f t="shared" ca="1" si="119"/>
        <v>1.0837799456595494</v>
      </c>
      <c r="W307" s="304">
        <f t="shared" ca="1" si="120"/>
        <v>5.4001928665699968</v>
      </c>
      <c r="Y307" s="314" t="str">
        <f t="shared" ca="1" si="138"/>
        <v/>
      </c>
      <c r="Z307" s="315" t="str">
        <f t="shared" ca="1" si="139"/>
        <v/>
      </c>
      <c r="AA307" s="316" t="str">
        <f t="shared" ca="1" si="140"/>
        <v/>
      </c>
      <c r="AC307" s="310" t="e">
        <f t="shared" ca="1" si="141"/>
        <v>#N/A</v>
      </c>
      <c r="AD307" s="323" t="e">
        <f t="shared" ca="1" si="142"/>
        <v>#N/A</v>
      </c>
      <c r="AE307" s="324">
        <f t="shared" ca="1" si="121"/>
        <v>1223.330569948349</v>
      </c>
      <c r="AG307" s="306">
        <f t="shared" ca="1" si="143"/>
        <v>-8.5086305671732934</v>
      </c>
      <c r="AH307" s="304">
        <f t="shared" ca="1" si="144"/>
        <v>-0.6587643729058088</v>
      </c>
    </row>
    <row r="308" spans="1:34" x14ac:dyDescent="0.3">
      <c r="A308" s="347">
        <f t="shared" ca="1" si="122"/>
        <v>0.1</v>
      </c>
      <c r="B308" s="304">
        <f t="shared" ca="1" si="123"/>
        <v>12.399999999999974</v>
      </c>
      <c r="D308" s="306">
        <f t="shared" ca="1" si="124"/>
        <v>-0.38617540063119626</v>
      </c>
      <c r="E308" s="307">
        <f t="shared" ca="1" si="125"/>
        <v>-10.309788976360286</v>
      </c>
      <c r="F308" s="304">
        <f t="shared" ca="1" si="126"/>
        <v>10.31701895787406</v>
      </c>
      <c r="G308" s="306">
        <f t="shared" ca="1" si="127"/>
        <v>24.47865750935884</v>
      </c>
      <c r="H308" s="307">
        <f t="shared" ca="1" si="128"/>
        <v>30.699327538419034</v>
      </c>
      <c r="I308" s="304">
        <f t="shared" ca="1" si="129"/>
        <v>39.263894162087681</v>
      </c>
      <c r="J308" s="306">
        <f t="shared" ca="1" si="130"/>
        <v>348.08646438584742</v>
      </c>
      <c r="K308" s="307">
        <f t="shared" ca="1" si="131"/>
        <v>1226.4520516470727</v>
      </c>
      <c r="L308" s="304">
        <f t="shared" ca="1" si="116"/>
        <v>1274.8916901752689</v>
      </c>
      <c r="M308" s="306">
        <f t="shared" ca="1" si="132"/>
        <v>0.89766240188100477</v>
      </c>
      <c r="N308" s="304">
        <f t="shared" ca="1" si="133"/>
        <v>51.432267055357947</v>
      </c>
      <c r="P308" s="310">
        <f t="shared" ca="1" si="134"/>
        <v>23</v>
      </c>
      <c r="Q308" s="304">
        <f t="shared" ca="1" si="135"/>
        <v>0</v>
      </c>
      <c r="R308" s="306">
        <f t="shared" ca="1" si="136"/>
        <v>0</v>
      </c>
      <c r="S308" s="307">
        <f t="shared" ca="1" si="137"/>
        <v>8.5499999999999989</v>
      </c>
      <c r="T308" s="304">
        <f t="shared" ca="1" si="117"/>
        <v>83.875499999999988</v>
      </c>
      <c r="U308" s="311">
        <f t="shared" ca="1" si="118"/>
        <v>0</v>
      </c>
      <c r="V308" s="306">
        <f t="shared" ca="1" si="119"/>
        <v>1.0834404252192411</v>
      </c>
      <c r="W308" s="304">
        <f t="shared" ca="1" si="120"/>
        <v>5.1760497007246151</v>
      </c>
      <c r="Y308" s="314" t="str">
        <f t="shared" ca="1" si="138"/>
        <v/>
      </c>
      <c r="Z308" s="315" t="str">
        <f t="shared" ca="1" si="139"/>
        <v/>
      </c>
      <c r="AA308" s="316" t="str">
        <f t="shared" ca="1" si="140"/>
        <v/>
      </c>
      <c r="AC308" s="310" t="e">
        <f t="shared" ca="1" si="141"/>
        <v>#N/A</v>
      </c>
      <c r="AD308" s="323" t="e">
        <f t="shared" ca="1" si="142"/>
        <v>#N/A</v>
      </c>
      <c r="AE308" s="324">
        <f t="shared" ca="1" si="121"/>
        <v>1226.4520516470727</v>
      </c>
      <c r="AG308" s="306">
        <f t="shared" ca="1" si="143"/>
        <v>-8.3942965275183283</v>
      </c>
      <c r="AH308" s="304">
        <f t="shared" ca="1" si="144"/>
        <v>-0.63160150486198796</v>
      </c>
    </row>
    <row r="309" spans="1:34" x14ac:dyDescent="0.3">
      <c r="A309" s="347">
        <f t="shared" ca="1" si="122"/>
        <v>0.1</v>
      </c>
      <c r="B309" s="304">
        <f t="shared" ca="1" si="123"/>
        <v>12.499999999999973</v>
      </c>
      <c r="D309" s="306">
        <f t="shared" ca="1" si="124"/>
        <v>-0.37742142381648131</v>
      </c>
      <c r="E309" s="307">
        <f t="shared" ca="1" si="125"/>
        <v>-10.283334124035552</v>
      </c>
      <c r="F309" s="304">
        <f t="shared" ca="1" si="126"/>
        <v>10.290257899475099</v>
      </c>
      <c r="G309" s="306">
        <f t="shared" ca="1" si="127"/>
        <v>24.44091536697719</v>
      </c>
      <c r="H309" s="307">
        <f t="shared" ca="1" si="128"/>
        <v>29.670994126015479</v>
      </c>
      <c r="I309" s="304">
        <f t="shared" ca="1" si="129"/>
        <v>38.441204929109425</v>
      </c>
      <c r="J309" s="306">
        <f t="shared" ca="1" si="130"/>
        <v>350.53244302966425</v>
      </c>
      <c r="K309" s="307">
        <f t="shared" ca="1" si="131"/>
        <v>1229.4705677302945</v>
      </c>
      <c r="L309" s="304">
        <f t="shared" ca="1" si="116"/>
        <v>1278.4642625163199</v>
      </c>
      <c r="M309" s="306">
        <f t="shared" ca="1" si="132"/>
        <v>0.8817518749025427</v>
      </c>
      <c r="N309" s="304">
        <f t="shared" ca="1" si="133"/>
        <v>50.52066100966303</v>
      </c>
      <c r="P309" s="310">
        <f t="shared" ca="1" si="134"/>
        <v>23</v>
      </c>
      <c r="Q309" s="304">
        <f t="shared" ca="1" si="135"/>
        <v>0</v>
      </c>
      <c r="R309" s="306">
        <f t="shared" ca="1" si="136"/>
        <v>0</v>
      </c>
      <c r="S309" s="307">
        <f t="shared" ca="1" si="137"/>
        <v>8.5499999999999989</v>
      </c>
      <c r="T309" s="304">
        <f t="shared" ca="1" si="117"/>
        <v>83.875499999999988</v>
      </c>
      <c r="U309" s="311">
        <f t="shared" ca="1" si="118"/>
        <v>0</v>
      </c>
      <c r="V309" s="306">
        <f t="shared" ca="1" si="119"/>
        <v>1.0831121992030315</v>
      </c>
      <c r="W309" s="304">
        <f t="shared" ca="1" si="120"/>
        <v>4.9599133864485179</v>
      </c>
      <c r="Y309" s="314" t="str">
        <f t="shared" ca="1" si="138"/>
        <v/>
      </c>
      <c r="Z309" s="315" t="str">
        <f t="shared" ca="1" si="139"/>
        <v/>
      </c>
      <c r="AA309" s="316" t="str">
        <f t="shared" ca="1" si="140"/>
        <v/>
      </c>
      <c r="AC309" s="310" t="e">
        <f t="shared" ca="1" si="141"/>
        <v>#N/A</v>
      </c>
      <c r="AD309" s="323" t="e">
        <f t="shared" ca="1" si="142"/>
        <v>#N/A</v>
      </c>
      <c r="AE309" s="324">
        <f t="shared" ca="1" si="121"/>
        <v>1229.4705677302945</v>
      </c>
      <c r="AG309" s="306">
        <f t="shared" ca="1" si="143"/>
        <v>-8.2755472722522807</v>
      </c>
      <c r="AH309" s="304">
        <f t="shared" ca="1" si="144"/>
        <v>-0.60538592990931184</v>
      </c>
    </row>
    <row r="310" spans="1:34" x14ac:dyDescent="0.3">
      <c r="A310" s="347">
        <f t="shared" ca="1" si="122"/>
        <v>0.1</v>
      </c>
      <c r="B310" s="304">
        <f t="shared" ca="1" si="123"/>
        <v>12.599999999999973</v>
      </c>
      <c r="D310" s="306">
        <f t="shared" ca="1" si="124"/>
        <v>-0.36883188061480116</v>
      </c>
      <c r="E310" s="307">
        <f t="shared" ca="1" si="125"/>
        <v>-10.257757720972892</v>
      </c>
      <c r="F310" s="304">
        <f t="shared" ca="1" si="126"/>
        <v>10.264386509594074</v>
      </c>
      <c r="G310" s="306">
        <f t="shared" ca="1" si="127"/>
        <v>24.40403217891571</v>
      </c>
      <c r="H310" s="307">
        <f t="shared" ca="1" si="128"/>
        <v>28.645218353918189</v>
      </c>
      <c r="I310" s="304">
        <f t="shared" ca="1" si="129"/>
        <v>37.631174857200577</v>
      </c>
      <c r="J310" s="306">
        <f t="shared" ca="1" si="130"/>
        <v>352.97469040695887</v>
      </c>
      <c r="K310" s="307">
        <f t="shared" ca="1" si="131"/>
        <v>1232.3863783542913</v>
      </c>
      <c r="L310" s="304">
        <f t="shared" ca="1" si="116"/>
        <v>1281.9388899713961</v>
      </c>
      <c r="M310" s="306">
        <f t="shared" ca="1" si="132"/>
        <v>0.86517656749044924</v>
      </c>
      <c r="N310" s="304">
        <f t="shared" ca="1" si="133"/>
        <v>49.570965850818169</v>
      </c>
      <c r="P310" s="310">
        <f t="shared" ca="1" si="134"/>
        <v>23</v>
      </c>
      <c r="Q310" s="304">
        <f t="shared" ca="1" si="135"/>
        <v>0</v>
      </c>
      <c r="R310" s="306">
        <f t="shared" ca="1" si="136"/>
        <v>0</v>
      </c>
      <c r="S310" s="307">
        <f t="shared" ca="1" si="137"/>
        <v>8.5499999999999989</v>
      </c>
      <c r="T310" s="304">
        <f t="shared" ca="1" si="117"/>
        <v>83.875499999999988</v>
      </c>
      <c r="U310" s="311">
        <f t="shared" ca="1" si="118"/>
        <v>0</v>
      </c>
      <c r="V310" s="306">
        <f t="shared" ca="1" si="119"/>
        <v>1.0827952297417622</v>
      </c>
      <c r="W310" s="304">
        <f t="shared" ca="1" si="120"/>
        <v>4.7516949244089473</v>
      </c>
      <c r="Y310" s="314" t="str">
        <f t="shared" ca="1" si="138"/>
        <v/>
      </c>
      <c r="Z310" s="315" t="str">
        <f t="shared" ca="1" si="139"/>
        <v/>
      </c>
      <c r="AA310" s="316" t="str">
        <f t="shared" ca="1" si="140"/>
        <v/>
      </c>
      <c r="AC310" s="310" t="e">
        <f t="shared" ca="1" si="141"/>
        <v>#N/A</v>
      </c>
      <c r="AD310" s="323" t="e">
        <f t="shared" ca="1" si="142"/>
        <v>#N/A</v>
      </c>
      <c r="AE310" s="324">
        <f t="shared" ca="1" si="121"/>
        <v>1232.3863783542913</v>
      </c>
      <c r="AG310" s="306">
        <f t="shared" ca="1" si="143"/>
        <v>-8.1519936339593269</v>
      </c>
      <c r="AH310" s="304">
        <f t="shared" ca="1" si="144"/>
        <v>-0.58010682882438813</v>
      </c>
    </row>
    <row r="311" spans="1:34" x14ac:dyDescent="0.3">
      <c r="A311" s="347">
        <f t="shared" ca="1" si="122"/>
        <v>0.1</v>
      </c>
      <c r="B311" s="304">
        <f t="shared" ca="1" si="123"/>
        <v>12.699999999999973</v>
      </c>
      <c r="D311" s="306">
        <f t="shared" ca="1" si="124"/>
        <v>-0.36040951373445562</v>
      </c>
      <c r="E311" s="307">
        <f t="shared" ca="1" si="125"/>
        <v>-10.233045222283906</v>
      </c>
      <c r="F311" s="304">
        <f t="shared" ca="1" si="126"/>
        <v>10.239390096040768</v>
      </c>
      <c r="G311" s="306">
        <f t="shared" ca="1" si="127"/>
        <v>24.367991227542266</v>
      </c>
      <c r="H311" s="307">
        <f t="shared" ca="1" si="128"/>
        <v>27.621913831689799</v>
      </c>
      <c r="I311" s="304">
        <f t="shared" ca="1" si="129"/>
        <v>36.83434701729994</v>
      </c>
      <c r="J311" s="306">
        <f t="shared" ca="1" si="130"/>
        <v>355.41329157728177</v>
      </c>
      <c r="K311" s="307">
        <f t="shared" ca="1" si="131"/>
        <v>1235.1997349635717</v>
      </c>
      <c r="L311" s="304">
        <f t="shared" ca="1" si="116"/>
        <v>1285.31591178351</v>
      </c>
      <c r="M311" s="306">
        <f t="shared" ca="1" si="132"/>
        <v>0.84790421716024356</v>
      </c>
      <c r="N311" s="304">
        <f t="shared" ca="1" si="133"/>
        <v>48.581333074625988</v>
      </c>
      <c r="P311" s="310">
        <f t="shared" ca="1" si="134"/>
        <v>23</v>
      </c>
      <c r="Q311" s="304">
        <f t="shared" ca="1" si="135"/>
        <v>0</v>
      </c>
      <c r="R311" s="306">
        <f t="shared" ca="1" si="136"/>
        <v>0</v>
      </c>
      <c r="S311" s="307">
        <f t="shared" ca="1" si="137"/>
        <v>8.5499999999999989</v>
      </c>
      <c r="T311" s="304">
        <f t="shared" ca="1" si="117"/>
        <v>83.875499999999988</v>
      </c>
      <c r="U311" s="311">
        <f t="shared" ca="1" si="118"/>
        <v>0</v>
      </c>
      <c r="V311" s="306">
        <f t="shared" ca="1" si="119"/>
        <v>1.0824894802765583</v>
      </c>
      <c r="W311" s="304">
        <f t="shared" ca="1" si="120"/>
        <v>4.5513087312710496</v>
      </c>
      <c r="Y311" s="314" t="str">
        <f t="shared" ca="1" si="138"/>
        <v/>
      </c>
      <c r="Z311" s="315" t="str">
        <f t="shared" ca="1" si="139"/>
        <v/>
      </c>
      <c r="AA311" s="316" t="str">
        <f t="shared" ca="1" si="140"/>
        <v/>
      </c>
      <c r="AC311" s="310" t="e">
        <f t="shared" ca="1" si="141"/>
        <v>#N/A</v>
      </c>
      <c r="AD311" s="323" t="e">
        <f t="shared" ca="1" si="142"/>
        <v>#N/A</v>
      </c>
      <c r="AE311" s="324">
        <f t="shared" ca="1" si="121"/>
        <v>1235.1997349635717</v>
      </c>
      <c r="AG311" s="306">
        <f t="shared" ca="1" si="143"/>
        <v>-8.0232217392711274</v>
      </c>
      <c r="AH311" s="304">
        <f t="shared" ca="1" si="144"/>
        <v>-0.55575379232853195</v>
      </c>
    </row>
    <row r="312" spans="1:34" x14ac:dyDescent="0.3">
      <c r="A312" s="347">
        <f t="shared" ca="1" si="122"/>
        <v>0.1</v>
      </c>
      <c r="B312" s="304">
        <f t="shared" ca="1" si="123"/>
        <v>12.799999999999972</v>
      </c>
      <c r="D312" s="306">
        <f t="shared" ca="1" si="124"/>
        <v>-0.35215749492474518</v>
      </c>
      <c r="E312" s="307">
        <f t="shared" ca="1" si="125"/>
        <v>-10.209182020756831</v>
      </c>
      <c r="F312" s="304">
        <f t="shared" ca="1" si="126"/>
        <v>10.215253909432512</v>
      </c>
      <c r="G312" s="306">
        <f t="shared" ca="1" si="127"/>
        <v>24.33277547804979</v>
      </c>
      <c r="H312" s="307">
        <f t="shared" ca="1" si="128"/>
        <v>26.600995629614115</v>
      </c>
      <c r="I312" s="304">
        <f t="shared" ca="1" si="129"/>
        <v>36.051309698150085</v>
      </c>
      <c r="J312" s="306">
        <f t="shared" ca="1" si="130"/>
        <v>357.84832991256138</v>
      </c>
      <c r="K312" s="307">
        <f t="shared" ca="1" si="131"/>
        <v>1237.9108804366369</v>
      </c>
      <c r="L312" s="304">
        <f t="shared" ca="1" si="116"/>
        <v>1288.595660059671</v>
      </c>
      <c r="M312" s="306">
        <f t="shared" ca="1" si="132"/>
        <v>0.82990149519461687</v>
      </c>
      <c r="N312" s="304">
        <f t="shared" ca="1" si="133"/>
        <v>47.54985308624812</v>
      </c>
      <c r="P312" s="310">
        <f t="shared" ca="1" si="134"/>
        <v>23</v>
      </c>
      <c r="Q312" s="304">
        <f t="shared" ca="1" si="135"/>
        <v>0</v>
      </c>
      <c r="R312" s="306">
        <f t="shared" ca="1" si="136"/>
        <v>0</v>
      </c>
      <c r="S312" s="307">
        <f t="shared" ca="1" si="137"/>
        <v>8.5499999999999989</v>
      </c>
      <c r="T312" s="304">
        <f t="shared" ca="1" si="117"/>
        <v>83.875499999999988</v>
      </c>
      <c r="U312" s="311">
        <f t="shared" ca="1" si="118"/>
        <v>0</v>
      </c>
      <c r="V312" s="306">
        <f t="shared" ca="1" si="119"/>
        <v>1.0821949155383495</v>
      </c>
      <c r="W312" s="304">
        <f t="shared" ca="1" si="120"/>
        <v>4.3586725530426156</v>
      </c>
      <c r="Y312" s="314" t="str">
        <f t="shared" ca="1" si="138"/>
        <v/>
      </c>
      <c r="Z312" s="315" t="str">
        <f t="shared" ca="1" si="139"/>
        <v/>
      </c>
      <c r="AA312" s="316" t="str">
        <f t="shared" ca="1" si="140"/>
        <v/>
      </c>
      <c r="AC312" s="310" t="e">
        <f t="shared" ca="1" si="141"/>
        <v>#N/A</v>
      </c>
      <c r="AD312" s="323" t="e">
        <f t="shared" ca="1" si="142"/>
        <v>#N/A</v>
      </c>
      <c r="AE312" s="324">
        <f t="shared" ca="1" si="121"/>
        <v>1237.9108804366369</v>
      </c>
      <c r="AG312" s="306">
        <f t="shared" ca="1" si="143"/>
        <v>-7.888792400200435</v>
      </c>
      <c r="AH312" s="304">
        <f t="shared" ca="1" si="144"/>
        <v>-0.5323168106749766</v>
      </c>
    </row>
    <row r="313" spans="1:34" x14ac:dyDescent="0.3">
      <c r="A313" s="347">
        <f t="shared" ca="1" si="122"/>
        <v>0.1</v>
      </c>
      <c r="B313" s="304">
        <f t="shared" ca="1" si="123"/>
        <v>12.899999999999972</v>
      </c>
      <c r="D313" s="306">
        <f t="shared" ca="1" si="124"/>
        <v>-0.34407944664797224</v>
      </c>
      <c r="E313" s="307">
        <f t="shared" ca="1" si="125"/>
        <v>-10.186153384753803</v>
      </c>
      <c r="F313" s="304">
        <f t="shared" ca="1" si="126"/>
        <v>10.191963080944561</v>
      </c>
      <c r="G313" s="306">
        <f t="shared" ca="1" si="127"/>
        <v>24.298367533384994</v>
      </c>
      <c r="H313" s="307">
        <f t="shared" ca="1" si="128"/>
        <v>25.582380291138733</v>
      </c>
      <c r="I313" s="304">
        <f t="shared" ca="1" si="129"/>
        <v>35.28269896348494</v>
      </c>
      <c r="J313" s="306">
        <f t="shared" ca="1" si="130"/>
        <v>360.27988706313312</v>
      </c>
      <c r="K313" s="307">
        <f t="shared" ca="1" si="131"/>
        <v>1240.5200492326746</v>
      </c>
      <c r="L313" s="304">
        <f t="shared" ca="1" si="116"/>
        <v>1291.7784599421302</v>
      </c>
      <c r="M313" s="306">
        <f t="shared" ca="1" si="132"/>
        <v>0.81113413001575807</v>
      </c>
      <c r="N313" s="304">
        <f t="shared" ca="1" si="133"/>
        <v>46.474562268918724</v>
      </c>
      <c r="P313" s="310">
        <f t="shared" ca="1" si="134"/>
        <v>23</v>
      </c>
      <c r="Q313" s="304">
        <f t="shared" ca="1" si="135"/>
        <v>0</v>
      </c>
      <c r="R313" s="306">
        <f t="shared" ca="1" si="136"/>
        <v>0</v>
      </c>
      <c r="S313" s="307">
        <f t="shared" ca="1" si="137"/>
        <v>8.5499999999999989</v>
      </c>
      <c r="T313" s="304">
        <f t="shared" ca="1" si="117"/>
        <v>83.875499999999988</v>
      </c>
      <c r="U313" s="311">
        <f t="shared" ca="1" si="118"/>
        <v>0</v>
      </c>
      <c r="V313" s="306">
        <f t="shared" ca="1" si="119"/>
        <v>1.0819115015274854</v>
      </c>
      <c r="W313" s="304">
        <f t="shared" ca="1" si="120"/>
        <v>4.1737073805403853</v>
      </c>
      <c r="Y313" s="314" t="str">
        <f t="shared" ca="1" si="138"/>
        <v/>
      </c>
      <c r="Z313" s="315" t="str">
        <f t="shared" ca="1" si="139"/>
        <v/>
      </c>
      <c r="AA313" s="316" t="str">
        <f t="shared" ca="1" si="140"/>
        <v/>
      </c>
      <c r="AC313" s="310" t="e">
        <f t="shared" ca="1" si="141"/>
        <v>#N/A</v>
      </c>
      <c r="AD313" s="323" t="e">
        <f t="shared" ca="1" si="142"/>
        <v>#N/A</v>
      </c>
      <c r="AE313" s="324">
        <f t="shared" ca="1" si="121"/>
        <v>1240.5200492326746</v>
      </c>
      <c r="AG313" s="306">
        <f t="shared" ca="1" si="143"/>
        <v>-7.7482408248442969</v>
      </c>
      <c r="AH313" s="304">
        <f t="shared" ca="1" si="144"/>
        <v>-0.50978626351375622</v>
      </c>
    </row>
    <row r="314" spans="1:34" x14ac:dyDescent="0.3">
      <c r="A314" s="347">
        <f t="shared" ca="1" si="122"/>
        <v>0.1</v>
      </c>
      <c r="B314" s="304">
        <f t="shared" ca="1" si="123"/>
        <v>12.999999999999972</v>
      </c>
      <c r="D314" s="306">
        <f t="shared" ca="1" si="124"/>
        <v>-0.33617946382338243</v>
      </c>
      <c r="E314" s="307">
        <f t="shared" ca="1" si="125"/>
        <v>-10.163944390617372</v>
      </c>
      <c r="F314" s="304">
        <f t="shared" ca="1" si="126"/>
        <v>10.169502554572613</v>
      </c>
      <c r="G314" s="306">
        <f t="shared" ca="1" si="127"/>
        <v>24.264749587002655</v>
      </c>
      <c r="H314" s="307">
        <f t="shared" ca="1" si="128"/>
        <v>24.565985852076995</v>
      </c>
      <c r="I314" s="304">
        <f t="shared" ca="1" si="129"/>
        <v>34.529201169508575</v>
      </c>
      <c r="J314" s="306">
        <f t="shared" ca="1" si="130"/>
        <v>362.70804291915249</v>
      </c>
      <c r="K314" s="307">
        <f t="shared" ca="1" si="131"/>
        <v>1243.0274675398355</v>
      </c>
      <c r="L314" s="304">
        <f t="shared" ca="1" si="116"/>
        <v>1294.8646297805569</v>
      </c>
      <c r="M314" s="306">
        <f t="shared" ca="1" si="132"/>
        <v>0.79156707404620119</v>
      </c>
      <c r="N314" s="304">
        <f t="shared" ca="1" si="133"/>
        <v>45.353452544366853</v>
      </c>
      <c r="P314" s="310">
        <f t="shared" ca="1" si="134"/>
        <v>23</v>
      </c>
      <c r="Q314" s="304">
        <f t="shared" ca="1" si="135"/>
        <v>0</v>
      </c>
      <c r="R314" s="306">
        <f t="shared" ca="1" si="136"/>
        <v>0</v>
      </c>
      <c r="S314" s="307">
        <f t="shared" ca="1" si="137"/>
        <v>8.5499999999999989</v>
      </c>
      <c r="T314" s="304">
        <f t="shared" ca="1" si="117"/>
        <v>83.875499999999988</v>
      </c>
      <c r="U314" s="311">
        <f t="shared" ca="1" si="118"/>
        <v>0</v>
      </c>
      <c r="V314" s="306">
        <f t="shared" ca="1" si="119"/>
        <v>1.0816392054933737</v>
      </c>
      <c r="W314" s="304">
        <f t="shared" ca="1" si="120"/>
        <v>3.9963373667164519</v>
      </c>
      <c r="Y314" s="314" t="str">
        <f t="shared" ca="1" si="138"/>
        <v/>
      </c>
      <c r="Z314" s="315" t="str">
        <f t="shared" ca="1" si="139"/>
        <v/>
      </c>
      <c r="AA314" s="316" t="str">
        <f t="shared" ca="1" si="140"/>
        <v/>
      </c>
      <c r="AC314" s="310">
        <f t="shared" ca="1" si="141"/>
        <v>12.999999999999972</v>
      </c>
      <c r="AD314" s="323">
        <f t="shared" ca="1" si="142"/>
        <v>362.70804291915249</v>
      </c>
      <c r="AE314" s="324">
        <f t="shared" ca="1" si="121"/>
        <v>1243.0274675398355</v>
      </c>
      <c r="AG314" s="306">
        <f t="shared" ca="1" si="143"/>
        <v>-7.601076751681342</v>
      </c>
      <c r="AH314" s="304">
        <f t="shared" ca="1" si="144"/>
        <v>-0.48815291000472349</v>
      </c>
    </row>
    <row r="315" spans="1:34" x14ac:dyDescent="0.3">
      <c r="A315" s="347">
        <f t="shared" ca="1" si="122"/>
        <v>0.1</v>
      </c>
      <c r="B315" s="304">
        <f t="shared" ca="1" si="123"/>
        <v>13.099999999999971</v>
      </c>
      <c r="D315" s="306">
        <f t="shared" ca="1" si="124"/>
        <v>-0.32846213518940265</v>
      </c>
      <c r="E315" s="307">
        <f t="shared" ca="1" si="125"/>
        <v>-10.142539849095662</v>
      </c>
      <c r="F315" s="304">
        <f t="shared" ca="1" si="126"/>
        <v>10.147857013416509</v>
      </c>
      <c r="G315" s="306">
        <f t="shared" ca="1" si="127"/>
        <v>24.231903373483714</v>
      </c>
      <c r="H315" s="307">
        <f t="shared" ca="1" si="128"/>
        <v>23.55173186716743</v>
      </c>
      <c r="I315" s="304">
        <f t="shared" ca="1" si="129"/>
        <v>33.791555380668719</v>
      </c>
      <c r="J315" s="306">
        <f t="shared" ca="1" si="130"/>
        <v>365.13287556717682</v>
      </c>
      <c r="K315" s="307">
        <f t="shared" ca="1" si="131"/>
        <v>1245.4333534257978</v>
      </c>
      <c r="L315" s="304">
        <f t="shared" ca="1" si="116"/>
        <v>1297.854481305737</v>
      </c>
      <c r="M315" s="306">
        <f t="shared" ca="1" si="132"/>
        <v>0.77116472196723984</v>
      </c>
      <c r="N315" s="304">
        <f t="shared" ca="1" si="133"/>
        <v>44.184483878102405</v>
      </c>
      <c r="P315" s="310">
        <f t="shared" ca="1" si="134"/>
        <v>23</v>
      </c>
      <c r="Q315" s="304">
        <f t="shared" ca="1" si="135"/>
        <v>0</v>
      </c>
      <c r="R315" s="306">
        <f t="shared" ca="1" si="136"/>
        <v>0</v>
      </c>
      <c r="S315" s="307">
        <f t="shared" ca="1" si="137"/>
        <v>8.5499999999999989</v>
      </c>
      <c r="T315" s="304">
        <f t="shared" ca="1" si="117"/>
        <v>83.875499999999988</v>
      </c>
      <c r="U315" s="311">
        <f t="shared" ca="1" si="118"/>
        <v>0</v>
      </c>
      <c r="V315" s="306">
        <f t="shared" ca="1" si="119"/>
        <v>1.0813779959140639</v>
      </c>
      <c r="W315" s="304">
        <f t="shared" ca="1" si="120"/>
        <v>3.8264897455727027</v>
      </c>
      <c r="Y315" s="314" t="str">
        <f t="shared" ca="1" si="138"/>
        <v/>
      </c>
      <c r="Z315" s="315" t="str">
        <f t="shared" ca="1" si="139"/>
        <v/>
      </c>
      <c r="AA315" s="316" t="str">
        <f t="shared" ca="1" si="140"/>
        <v/>
      </c>
      <c r="AC315" s="310" t="e">
        <f t="shared" ca="1" si="141"/>
        <v>#N/A</v>
      </c>
      <c r="AD315" s="323" t="e">
        <f t="shared" ca="1" si="142"/>
        <v>#N/A</v>
      </c>
      <c r="AE315" s="324">
        <f t="shared" ca="1" si="121"/>
        <v>1245.4333534257978</v>
      </c>
      <c r="AG315" s="306">
        <f t="shared" ca="1" si="143"/>
        <v>-7.4467851322102776</v>
      </c>
      <c r="AH315" s="304">
        <f t="shared" ca="1" si="144"/>
        <v>-0.4674078791481231</v>
      </c>
    </row>
    <row r="316" spans="1:34" x14ac:dyDescent="0.3">
      <c r="A316" s="347">
        <f t="shared" ca="1" si="122"/>
        <v>0.1</v>
      </c>
      <c r="B316" s="304">
        <f t="shared" ca="1" si="123"/>
        <v>13.199999999999971</v>
      </c>
      <c r="D316" s="306">
        <f t="shared" ca="1" si="124"/>
        <v>-0.32093256370576284</v>
      </c>
      <c r="E316" s="307">
        <f t="shared" ca="1" si="125"/>
        <v>-10.121924225321559</v>
      </c>
      <c r="F316" s="304">
        <f t="shared" ca="1" si="126"/>
        <v>10.127010799520171</v>
      </c>
      <c r="G316" s="306">
        <f t="shared" ca="1" si="127"/>
        <v>24.199810117113138</v>
      </c>
      <c r="H316" s="307">
        <f t="shared" ca="1" si="128"/>
        <v>22.539539444635274</v>
      </c>
      <c r="I316" s="304">
        <f t="shared" ca="1" si="129"/>
        <v>33.070555605864875</v>
      </c>
      <c r="J316" s="306">
        <f t="shared" ca="1" si="130"/>
        <v>367.55446124170669</v>
      </c>
      <c r="K316" s="307">
        <f t="shared" ca="1" si="131"/>
        <v>1247.7379169913879</v>
      </c>
      <c r="L316" s="304">
        <f t="shared" ca="1" si="116"/>
        <v>1300.7483198054454</v>
      </c>
      <c r="M316" s="306">
        <f t="shared" ca="1" si="132"/>
        <v>0.74989118901124396</v>
      </c>
      <c r="N316" s="304">
        <f t="shared" ca="1" si="133"/>
        <v>42.965600224391373</v>
      </c>
      <c r="P316" s="310">
        <f t="shared" ca="1" si="134"/>
        <v>23</v>
      </c>
      <c r="Q316" s="304">
        <f t="shared" ca="1" si="135"/>
        <v>0</v>
      </c>
      <c r="R316" s="306">
        <f t="shared" ca="1" si="136"/>
        <v>0</v>
      </c>
      <c r="S316" s="307">
        <f t="shared" ca="1" si="137"/>
        <v>8.5499999999999989</v>
      </c>
      <c r="T316" s="304">
        <f t="shared" ca="1" si="117"/>
        <v>83.875499999999988</v>
      </c>
      <c r="U316" s="311">
        <f t="shared" ca="1" si="118"/>
        <v>0</v>
      </c>
      <c r="V316" s="306">
        <f t="shared" ca="1" si="119"/>
        <v>1.0811278424756778</v>
      </c>
      <c r="W316" s="304">
        <f t="shared" ca="1" si="120"/>
        <v>3.6640947523790768</v>
      </c>
      <c r="Y316" s="314" t="str">
        <f t="shared" ca="1" si="138"/>
        <v/>
      </c>
      <c r="Z316" s="315" t="str">
        <f t="shared" ca="1" si="139"/>
        <v/>
      </c>
      <c r="AA316" s="316" t="str">
        <f t="shared" ca="1" si="140"/>
        <v/>
      </c>
      <c r="AC316" s="310" t="e">
        <f t="shared" ca="1" si="141"/>
        <v>#N/A</v>
      </c>
      <c r="AD316" s="323" t="e">
        <f t="shared" ca="1" si="142"/>
        <v>#N/A</v>
      </c>
      <c r="AE316" s="324">
        <f t="shared" ca="1" si="121"/>
        <v>1247.7379169913879</v>
      </c>
      <c r="AG316" s="306">
        <f t="shared" ca="1" si="143"/>
        <v>-7.2848275089612251</v>
      </c>
      <c r="AH316" s="304">
        <f t="shared" ca="1" si="144"/>
        <v>-0.44754266030090095</v>
      </c>
    </row>
    <row r="317" spans="1:34" x14ac:dyDescent="0.3">
      <c r="A317" s="347">
        <f t="shared" ca="1" si="122"/>
        <v>0.1</v>
      </c>
      <c r="B317" s="304">
        <f t="shared" ca="1" si="123"/>
        <v>13.299999999999971</v>
      </c>
      <c r="D317" s="306">
        <f t="shared" ca="1" si="124"/>
        <v>-0.31359638527158412</v>
      </c>
      <c r="E317" s="307">
        <f t="shared" ca="1" si="125"/>
        <v>-10.102081551934388</v>
      </c>
      <c r="F317" s="304">
        <f t="shared" ca="1" si="126"/>
        <v>10.106947826855963</v>
      </c>
      <c r="G317" s="306">
        <f t="shared" ca="1" si="127"/>
        <v>24.168450478585978</v>
      </c>
      <c r="H317" s="307">
        <f t="shared" ca="1" si="128"/>
        <v>21.529331289441835</v>
      </c>
      <c r="I317" s="304">
        <f t="shared" ca="1" si="129"/>
        <v>32.367052759038813</v>
      </c>
      <c r="J317" s="306">
        <f t="shared" ca="1" si="130"/>
        <v>369.97287427149166</v>
      </c>
      <c r="K317" s="307">
        <f t="shared" ca="1" si="131"/>
        <v>1249.9413605280918</v>
      </c>
      <c r="L317" s="304">
        <f t="shared" ca="1" si="116"/>
        <v>1303.546444303204</v>
      </c>
      <c r="M317" s="306">
        <f t="shared" ca="1" si="132"/>
        <v>0.72771065848832783</v>
      </c>
      <c r="N317" s="304">
        <f t="shared" ca="1" si="133"/>
        <v>41.694749438067184</v>
      </c>
      <c r="P317" s="310">
        <f t="shared" ca="1" si="134"/>
        <v>23</v>
      </c>
      <c r="Q317" s="304">
        <f t="shared" ca="1" si="135"/>
        <v>0</v>
      </c>
      <c r="R317" s="306">
        <f t="shared" ca="1" si="136"/>
        <v>0</v>
      </c>
      <c r="S317" s="307">
        <f t="shared" ca="1" si="137"/>
        <v>8.5499999999999989</v>
      </c>
      <c r="T317" s="304">
        <f t="shared" ca="1" si="117"/>
        <v>83.875499999999988</v>
      </c>
      <c r="U317" s="311">
        <f t="shared" ca="1" si="118"/>
        <v>0</v>
      </c>
      <c r="V317" s="306">
        <f t="shared" ca="1" si="119"/>
        <v>1.0808887160516041</v>
      </c>
      <c r="W317" s="304">
        <f t="shared" ca="1" si="120"/>
        <v>3.5090855448980616</v>
      </c>
      <c r="Y317" s="314" t="str">
        <f t="shared" ca="1" si="138"/>
        <v/>
      </c>
      <c r="Z317" s="315" t="str">
        <f t="shared" ca="1" si="139"/>
        <v/>
      </c>
      <c r="AA317" s="316" t="str">
        <f t="shared" ca="1" si="140"/>
        <v/>
      </c>
      <c r="AC317" s="310" t="e">
        <f t="shared" ca="1" si="141"/>
        <v>#N/A</v>
      </c>
      <c r="AD317" s="323" t="e">
        <f t="shared" ca="1" si="142"/>
        <v>#N/A</v>
      </c>
      <c r="AE317" s="324">
        <f t="shared" ca="1" si="121"/>
        <v>1249.9413605280918</v>
      </c>
      <c r="AG317" s="306">
        <f t="shared" ca="1" si="143"/>
        <v>-7.1146442591973358</v>
      </c>
      <c r="AH317" s="304">
        <f t="shared" ca="1" si="144"/>
        <v>-0.4285490938455061</v>
      </c>
    </row>
    <row r="318" spans="1:34" x14ac:dyDescent="0.3">
      <c r="A318" s="347">
        <f t="shared" ca="1" si="122"/>
        <v>0.1</v>
      </c>
      <c r="B318" s="304">
        <f t="shared" ca="1" si="123"/>
        <v>13.39999999999997</v>
      </c>
      <c r="D318" s="306">
        <f t="shared" ca="1" si="124"/>
        <v>-0.30645978486901304</v>
      </c>
      <c r="E318" s="307">
        <f t="shared" ca="1" si="125"/>
        <v>-10.082995335020836</v>
      </c>
      <c r="F318" s="304">
        <f t="shared" ca="1" si="126"/>
        <v>10.087651487129891</v>
      </c>
      <c r="G318" s="306">
        <f t="shared" ca="1" si="127"/>
        <v>24.137804500099076</v>
      </c>
      <c r="H318" s="307">
        <f t="shared" ca="1" si="128"/>
        <v>20.521031755939752</v>
      </c>
      <c r="I318" s="304">
        <f t="shared" ca="1" si="129"/>
        <v>31.681956227690407</v>
      </c>
      <c r="J318" s="306">
        <f t="shared" ca="1" si="130"/>
        <v>372.3881870204259</v>
      </c>
      <c r="K318" s="307">
        <f t="shared" ca="1" si="131"/>
        <v>1252.0438786803609</v>
      </c>
      <c r="L318" s="304">
        <f t="shared" ca="1" si="116"/>
        <v>1306.2491477407063</v>
      </c>
      <c r="M318" s="306">
        <f t="shared" ca="1" si="132"/>
        <v>0.70458780803631138</v>
      </c>
      <c r="N318" s="304">
        <f t="shared" ca="1" si="133"/>
        <v>40.369907696854469</v>
      </c>
      <c r="P318" s="310">
        <f t="shared" ca="1" si="134"/>
        <v>23</v>
      </c>
      <c r="Q318" s="304">
        <f t="shared" ca="1" si="135"/>
        <v>0</v>
      </c>
      <c r="R318" s="306">
        <f t="shared" ca="1" si="136"/>
        <v>0</v>
      </c>
      <c r="S318" s="307">
        <f t="shared" ca="1" si="137"/>
        <v>8.5499999999999989</v>
      </c>
      <c r="T318" s="304">
        <f t="shared" ca="1" si="117"/>
        <v>83.875499999999988</v>
      </c>
      <c r="U318" s="311">
        <f t="shared" ca="1" si="118"/>
        <v>0</v>
      </c>
      <c r="V318" s="306">
        <f t="shared" ca="1" si="119"/>
        <v>1.0806605886813481</v>
      </c>
      <c r="W318" s="304">
        <f t="shared" ca="1" si="120"/>
        <v>3.3613981253030714</v>
      </c>
      <c r="Y318" s="314" t="str">
        <f t="shared" ca="1" si="138"/>
        <v/>
      </c>
      <c r="Z318" s="315" t="str">
        <f t="shared" ca="1" si="139"/>
        <v/>
      </c>
      <c r="AA318" s="316" t="str">
        <f t="shared" ca="1" si="140"/>
        <v/>
      </c>
      <c r="AC318" s="310" t="e">
        <f t="shared" ca="1" si="141"/>
        <v>#N/A</v>
      </c>
      <c r="AD318" s="323" t="e">
        <f t="shared" ca="1" si="142"/>
        <v>#N/A</v>
      </c>
      <c r="AE318" s="324">
        <f t="shared" ca="1" si="121"/>
        <v>1252.0438786803609</v>
      </c>
      <c r="AG318" s="306">
        <f t="shared" ca="1" si="143"/>
        <v>-6.9356578976488645</v>
      </c>
      <c r="AH318" s="304">
        <f t="shared" ca="1" si="144"/>
        <v>-0.41041936197638151</v>
      </c>
    </row>
    <row r="319" spans="1:34" x14ac:dyDescent="0.3">
      <c r="A319" s="347">
        <f t="shared" ca="1" si="122"/>
        <v>0.1</v>
      </c>
      <c r="B319" s="304">
        <f t="shared" ca="1" si="123"/>
        <v>13.49999999999997</v>
      </c>
      <c r="D319" s="306">
        <f t="shared" ca="1" si="124"/>
        <v>-0.29952950905565734</v>
      </c>
      <c r="E319" s="307">
        <f t="shared" ca="1" si="125"/>
        <v>-10.06464845268537</v>
      </c>
      <c r="F319" s="304">
        <f t="shared" ca="1" si="126"/>
        <v>10.069104548217638</v>
      </c>
      <c r="G319" s="306">
        <f t="shared" ca="1" si="127"/>
        <v>24.107851549193509</v>
      </c>
      <c r="H319" s="307">
        <f t="shared" ca="1" si="128"/>
        <v>19.514566910671217</v>
      </c>
      <c r="I319" s="304">
        <f t="shared" ca="1" si="129"/>
        <v>31.016234910591837</v>
      </c>
      <c r="J319" s="306">
        <f t="shared" ca="1" si="130"/>
        <v>374.80046982289053</v>
      </c>
      <c r="K319" s="307">
        <f t="shared" ca="1" si="131"/>
        <v>1254.0456586136913</v>
      </c>
      <c r="L319" s="304">
        <f t="shared" ca="1" si="116"/>
        <v>1308.8567171647576</v>
      </c>
      <c r="M319" s="306">
        <f t="shared" ca="1" si="132"/>
        <v>0.68048832395090564</v>
      </c>
      <c r="N319" s="304">
        <f t="shared" ca="1" si="133"/>
        <v>38.989108970318028</v>
      </c>
      <c r="P319" s="310">
        <f t="shared" ca="1" si="134"/>
        <v>23</v>
      </c>
      <c r="Q319" s="304">
        <f t="shared" ca="1" si="135"/>
        <v>0</v>
      </c>
      <c r="R319" s="306">
        <f t="shared" ca="1" si="136"/>
        <v>0</v>
      </c>
      <c r="S319" s="307">
        <f t="shared" ca="1" si="137"/>
        <v>8.5499999999999989</v>
      </c>
      <c r="T319" s="304">
        <f t="shared" ca="1" si="117"/>
        <v>83.875499999999988</v>
      </c>
      <c r="U319" s="311">
        <f t="shared" ca="1" si="118"/>
        <v>0</v>
      </c>
      <c r="V319" s="306">
        <f t="shared" ca="1" si="119"/>
        <v>1.0804434335489266</v>
      </c>
      <c r="W319" s="304">
        <f t="shared" ca="1" si="120"/>
        <v>3.2209712624628533</v>
      </c>
      <c r="Y319" s="314" t="str">
        <f t="shared" ca="1" si="138"/>
        <v/>
      </c>
      <c r="Z319" s="315" t="str">
        <f t="shared" ca="1" si="139"/>
        <v/>
      </c>
      <c r="AA319" s="316" t="str">
        <f t="shared" ca="1" si="140"/>
        <v/>
      </c>
      <c r="AC319" s="310" t="e">
        <f t="shared" ca="1" si="141"/>
        <v>#N/A</v>
      </c>
      <c r="AD319" s="323" t="e">
        <f t="shared" ca="1" si="142"/>
        <v>#N/A</v>
      </c>
      <c r="AE319" s="324">
        <f t="shared" ca="1" si="121"/>
        <v>1254.0456586136913</v>
      </c>
      <c r="AG319" s="306">
        <f t="shared" ca="1" si="143"/>
        <v>-6.7472776524666624</v>
      </c>
      <c r="AH319" s="304">
        <f t="shared" ca="1" si="144"/>
        <v>-0.39314597956761071</v>
      </c>
    </row>
    <row r="320" spans="1:34" x14ac:dyDescent="0.3">
      <c r="A320" s="347">
        <f t="shared" ca="1" si="122"/>
        <v>0.1</v>
      </c>
      <c r="B320" s="304">
        <f t="shared" ca="1" si="123"/>
        <v>13.599999999999969</v>
      </c>
      <c r="D320" s="306">
        <f t="shared" ca="1" si="124"/>
        <v>-0.29281287352630131</v>
      </c>
      <c r="E320" s="307">
        <f t="shared" ca="1" si="125"/>
        <v>-10.047023046250095</v>
      </c>
      <c r="F320" s="304">
        <f t="shared" ca="1" si="126"/>
        <v>10.051289045231128</v>
      </c>
      <c r="G320" s="306">
        <f t="shared" ca="1" si="127"/>
        <v>24.078570261840877</v>
      </c>
      <c r="H320" s="307">
        <f t="shared" ca="1" si="128"/>
        <v>18.509864606046207</v>
      </c>
      <c r="I320" s="304">
        <f t="shared" ca="1" si="129"/>
        <v>30.37091756250657</v>
      </c>
      <c r="J320" s="306">
        <f t="shared" ca="1" si="130"/>
        <v>377.20979091344225</v>
      </c>
      <c r="K320" s="307">
        <f t="shared" ca="1" si="131"/>
        <v>1255.9468801895273</v>
      </c>
      <c r="L320" s="304">
        <f t="shared" ca="1" si="116"/>
        <v>1311.36943391966</v>
      </c>
      <c r="M320" s="306">
        <f t="shared" ca="1" si="132"/>
        <v>0.65537951222128898</v>
      </c>
      <c r="N320" s="304">
        <f t="shared" ca="1" si="133"/>
        <v>37.550480029622413</v>
      </c>
      <c r="P320" s="310">
        <f t="shared" ca="1" si="134"/>
        <v>23</v>
      </c>
      <c r="Q320" s="304">
        <f t="shared" ca="1" si="135"/>
        <v>0</v>
      </c>
      <c r="R320" s="306">
        <f t="shared" ca="1" si="136"/>
        <v>0</v>
      </c>
      <c r="S320" s="307">
        <f t="shared" ca="1" si="137"/>
        <v>8.5499999999999989</v>
      </c>
      <c r="T320" s="304">
        <f t="shared" ca="1" si="117"/>
        <v>83.875499999999988</v>
      </c>
      <c r="U320" s="311">
        <f t="shared" ca="1" si="118"/>
        <v>0</v>
      </c>
      <c r="V320" s="306">
        <f t="shared" ca="1" si="119"/>
        <v>1.0802372249606929</v>
      </c>
      <c r="W320" s="304">
        <f t="shared" ca="1" si="120"/>
        <v>3.0877464142480653</v>
      </c>
      <c r="Y320" s="314" t="str">
        <f t="shared" ca="1" si="138"/>
        <v/>
      </c>
      <c r="Z320" s="315" t="str">
        <f t="shared" ca="1" si="139"/>
        <v/>
      </c>
      <c r="AA320" s="316" t="str">
        <f t="shared" ca="1" si="140"/>
        <v/>
      </c>
      <c r="AC320" s="310" t="e">
        <f t="shared" ca="1" si="141"/>
        <v>#N/A</v>
      </c>
      <c r="AD320" s="323" t="e">
        <f t="shared" ca="1" si="142"/>
        <v>#N/A</v>
      </c>
      <c r="AE320" s="324">
        <f t="shared" ca="1" si="121"/>
        <v>1255.9468801895273</v>
      </c>
      <c r="AG320" s="306">
        <f t="shared" ca="1" si="143"/>
        <v>-6.5489055445089859</v>
      </c>
      <c r="AH320" s="304">
        <f t="shared" ca="1" si="144"/>
        <v>-0.37672178508337467</v>
      </c>
    </row>
    <row r="321" spans="1:34" x14ac:dyDescent="0.3">
      <c r="A321" s="347">
        <f t="shared" ca="1" si="122"/>
        <v>0.1</v>
      </c>
      <c r="B321" s="304">
        <f t="shared" ca="1" si="123"/>
        <v>13.699999999999969</v>
      </c>
      <c r="D321" s="306">
        <f t="shared" ca="1" si="124"/>
        <v>-0.28631776425146682</v>
      </c>
      <c r="E321" s="307">
        <f t="shared" ca="1" si="125"/>
        <v>-10.030100404341672</v>
      </c>
      <c r="F321" s="304">
        <f t="shared" ca="1" si="126"/>
        <v>10.034186164472978</v>
      </c>
      <c r="G321" s="306">
        <f t="shared" ca="1" si="127"/>
        <v>24.04993848541573</v>
      </c>
      <c r="H321" s="307">
        <f t="shared" ca="1" si="128"/>
        <v>17.506854565612041</v>
      </c>
      <c r="I321" s="304">
        <f t="shared" ca="1" si="129"/>
        <v>29.74709226014825</v>
      </c>
      <c r="J321" s="306">
        <f t="shared" ca="1" si="130"/>
        <v>379.61621635080508</v>
      </c>
      <c r="K321" s="307">
        <f t="shared" ca="1" si="131"/>
        <v>1257.7477161481102</v>
      </c>
      <c r="L321" s="304">
        <f t="shared" ca="1" si="116"/>
        <v>1313.7875738460493</v>
      </c>
      <c r="M321" s="306">
        <f t="shared" ca="1" si="132"/>
        <v>0.62923101335295395</v>
      </c>
      <c r="N321" s="304">
        <f t="shared" ca="1" si="133"/>
        <v>36.052281403864207</v>
      </c>
      <c r="P321" s="310">
        <f t="shared" ca="1" si="134"/>
        <v>23</v>
      </c>
      <c r="Q321" s="304">
        <f t="shared" ca="1" si="135"/>
        <v>0</v>
      </c>
      <c r="R321" s="306">
        <f t="shared" ca="1" si="136"/>
        <v>0</v>
      </c>
      <c r="S321" s="307">
        <f t="shared" ca="1" si="137"/>
        <v>8.5499999999999989</v>
      </c>
      <c r="T321" s="304">
        <f t="shared" ca="1" si="117"/>
        <v>83.875499999999988</v>
      </c>
      <c r="U321" s="311">
        <f t="shared" ca="1" si="118"/>
        <v>0</v>
      </c>
      <c r="V321" s="306">
        <f t="shared" ca="1" si="119"/>
        <v>1.0800419383224653</v>
      </c>
      <c r="W321" s="304">
        <f t="shared" ca="1" si="120"/>
        <v>2.9616676495003831</v>
      </c>
      <c r="Y321" s="314" t="str">
        <f t="shared" ca="1" si="138"/>
        <v/>
      </c>
      <c r="Z321" s="315" t="str">
        <f t="shared" ca="1" si="139"/>
        <v/>
      </c>
      <c r="AA321" s="316" t="str">
        <f t="shared" ca="1" si="140"/>
        <v/>
      </c>
      <c r="AC321" s="310" t="e">
        <f t="shared" ca="1" si="141"/>
        <v>#N/A</v>
      </c>
      <c r="AD321" s="323" t="e">
        <f t="shared" ca="1" si="142"/>
        <v>#N/A</v>
      </c>
      <c r="AE321" s="324">
        <f t="shared" ca="1" si="121"/>
        <v>1257.7477161481102</v>
      </c>
      <c r="AG321" s="306">
        <f t="shared" ca="1" si="143"/>
        <v>-6.339944207377588</v>
      </c>
      <c r="AH321" s="304">
        <f t="shared" ca="1" si="144"/>
        <v>-0.36113993149100182</v>
      </c>
    </row>
    <row r="322" spans="1:34" x14ac:dyDescent="0.3">
      <c r="A322" s="347">
        <f t="shared" ca="1" si="122"/>
        <v>0.1</v>
      </c>
      <c r="B322" s="304">
        <f t="shared" ca="1" si="123"/>
        <v>13.799999999999969</v>
      </c>
      <c r="D322" s="306">
        <f t="shared" ca="1" si="124"/>
        <v>-0.2800526304875558</v>
      </c>
      <c r="E322" s="307">
        <f t="shared" ca="1" si="125"/>
        <v>-10.013860840460607</v>
      </c>
      <c r="F322" s="304">
        <f t="shared" ca="1" si="126"/>
        <v>10.017776120874004</v>
      </c>
      <c r="G322" s="306">
        <f t="shared" ca="1" si="127"/>
        <v>24.021933222366975</v>
      </c>
      <c r="H322" s="307">
        <f t="shared" ca="1" si="128"/>
        <v>16.50546848156598</v>
      </c>
      <c r="I322" s="304">
        <f t="shared" ca="1" si="129"/>
        <v>29.1459047815611</v>
      </c>
      <c r="J322" s="306">
        <f t="shared" ca="1" si="130"/>
        <v>382.01980993619424</v>
      </c>
      <c r="K322" s="307">
        <f t="shared" ca="1" si="131"/>
        <v>1259.448332300469</v>
      </c>
      <c r="L322" s="304">
        <f t="shared" ca="1" si="116"/>
        <v>1316.1114074872683</v>
      </c>
      <c r="M322" s="306">
        <f t="shared" ca="1" si="132"/>
        <v>0.60201562546839338</v>
      </c>
      <c r="N322" s="304">
        <f t="shared" ca="1" si="133"/>
        <v>34.492954540267412</v>
      </c>
      <c r="P322" s="310">
        <f t="shared" ca="1" si="134"/>
        <v>23</v>
      </c>
      <c r="Q322" s="304">
        <f t="shared" ca="1" si="135"/>
        <v>0</v>
      </c>
      <c r="R322" s="306">
        <f t="shared" ca="1" si="136"/>
        <v>0</v>
      </c>
      <c r="S322" s="307">
        <f t="shared" ca="1" si="137"/>
        <v>8.5499999999999989</v>
      </c>
      <c r="T322" s="304">
        <f t="shared" ca="1" si="117"/>
        <v>83.875499999999988</v>
      </c>
      <c r="U322" s="311">
        <f t="shared" ca="1" si="118"/>
        <v>0</v>
      </c>
      <c r="V322" s="306">
        <f t="shared" ca="1" si="119"/>
        <v>1.0798575501158243</v>
      </c>
      <c r="W322" s="304">
        <f t="shared" ca="1" si="120"/>
        <v>2.8426815692895535</v>
      </c>
      <c r="Y322" s="314" t="str">
        <f t="shared" ca="1" si="138"/>
        <v/>
      </c>
      <c r="Z322" s="315" t="str">
        <f t="shared" ca="1" si="139"/>
        <v/>
      </c>
      <c r="AA322" s="316" t="str">
        <f t="shared" ca="1" si="140"/>
        <v/>
      </c>
      <c r="AC322" s="310" t="e">
        <f t="shared" ca="1" si="141"/>
        <v>#N/A</v>
      </c>
      <c r="AD322" s="323" t="e">
        <f t="shared" ca="1" si="142"/>
        <v>#N/A</v>
      </c>
      <c r="AE322" s="324">
        <f t="shared" ca="1" si="121"/>
        <v>1259.448332300469</v>
      </c>
      <c r="AG322" s="306">
        <f t="shared" ca="1" si="143"/>
        <v>-6.1198066795258166</v>
      </c>
      <c r="AH322" s="304">
        <f t="shared" ca="1" si="144"/>
        <v>-0.34639387713454778</v>
      </c>
    </row>
    <row r="323" spans="1:34" x14ac:dyDescent="0.3">
      <c r="A323" s="347">
        <f t="shared" ca="1" si="122"/>
        <v>0.1</v>
      </c>
      <c r="B323" s="304">
        <f t="shared" ca="1" si="123"/>
        <v>13.899999999999968</v>
      </c>
      <c r="D323" s="306">
        <f t="shared" ca="1" si="124"/>
        <v>-0.2740264677556456</v>
      </c>
      <c r="E323" s="307">
        <f t="shared" ca="1" si="125"/>
        <v>-9.9982835650564681</v>
      </c>
      <c r="F323" s="304">
        <f t="shared" ca="1" si="126"/>
        <v>10.002038029937143</v>
      </c>
      <c r="G323" s="306">
        <f t="shared" ca="1" si="127"/>
        <v>23.994530575591412</v>
      </c>
      <c r="H323" s="307">
        <f t="shared" ca="1" si="128"/>
        <v>15.505640125060333</v>
      </c>
      <c r="I323" s="304">
        <f t="shared" ca="1" si="129"/>
        <v>28.568555672817485</v>
      </c>
      <c r="J323" s="306">
        <f t="shared" ca="1" si="130"/>
        <v>384.42063312609213</v>
      </c>
      <c r="K323" s="307">
        <f t="shared" ca="1" si="131"/>
        <v>1261.0488877308003</v>
      </c>
      <c r="L323" s="304">
        <f t="shared" ca="1" si="116"/>
        <v>1318.3412003044409</v>
      </c>
      <c r="M323" s="306">
        <f t="shared" ca="1" si="132"/>
        <v>0.57371023629226381</v>
      </c>
      <c r="N323" s="304">
        <f t="shared" ca="1" si="133"/>
        <v>32.871175202999908</v>
      </c>
      <c r="P323" s="310">
        <f t="shared" ca="1" si="134"/>
        <v>23</v>
      </c>
      <c r="Q323" s="304">
        <f t="shared" ca="1" si="135"/>
        <v>0</v>
      </c>
      <c r="R323" s="306">
        <f t="shared" ca="1" si="136"/>
        <v>0</v>
      </c>
      <c r="S323" s="307">
        <f t="shared" ca="1" si="137"/>
        <v>8.5499999999999989</v>
      </c>
      <c r="T323" s="304">
        <f t="shared" ca="1" si="117"/>
        <v>83.875499999999988</v>
      </c>
      <c r="U323" s="311">
        <f t="shared" ca="1" si="118"/>
        <v>0</v>
      </c>
      <c r="V323" s="306">
        <f t="shared" ca="1" si="119"/>
        <v>1.0796840378734385</v>
      </c>
      <c r="W323" s="304">
        <f t="shared" ca="1" si="120"/>
        <v>2.7307372270710633</v>
      </c>
      <c r="Y323" s="314" t="str">
        <f t="shared" ca="1" si="138"/>
        <v/>
      </c>
      <c r="Z323" s="315" t="str">
        <f t="shared" ca="1" si="139"/>
        <v/>
      </c>
      <c r="AA323" s="316" t="str">
        <f t="shared" ca="1" si="140"/>
        <v/>
      </c>
      <c r="AC323" s="310" t="e">
        <f t="shared" ca="1" si="141"/>
        <v>#N/A</v>
      </c>
      <c r="AD323" s="323" t="e">
        <f t="shared" ca="1" si="142"/>
        <v>#N/A</v>
      </c>
      <c r="AE323" s="324">
        <f t="shared" ca="1" si="121"/>
        <v>1261.0488877308003</v>
      </c>
      <c r="AG323" s="306">
        <f t="shared" ca="1" si="143"/>
        <v>-5.8879283744504933</v>
      </c>
      <c r="AH323" s="304">
        <f t="shared" ca="1" si="144"/>
        <v>-0.33247737652509401</v>
      </c>
    </row>
    <row r="324" spans="1:34" x14ac:dyDescent="0.3">
      <c r="A324" s="347">
        <f t="shared" ca="1" si="122"/>
        <v>0.1</v>
      </c>
      <c r="B324" s="304">
        <f t="shared" ca="1" si="123"/>
        <v>13.999999999999968</v>
      </c>
      <c r="D324" s="306">
        <f t="shared" ca="1" si="124"/>
        <v>-0.26824878872435881</v>
      </c>
      <c r="E324" s="307">
        <f t="shared" ca="1" si="125"/>
        <v>-9.9833465536589578</v>
      </c>
      <c r="F324" s="304">
        <f t="shared" ca="1" si="126"/>
        <v>9.9869497757376493</v>
      </c>
      <c r="G324" s="306">
        <f t="shared" ca="1" si="127"/>
        <v>23.967705696718976</v>
      </c>
      <c r="H324" s="307">
        <f t="shared" ca="1" si="128"/>
        <v>14.507305469694437</v>
      </c>
      <c r="I324" s="304">
        <f t="shared" ca="1" si="129"/>
        <v>28.016295764350456</v>
      </c>
      <c r="J324" s="306">
        <f t="shared" ca="1" si="130"/>
        <v>386.81874493970764</v>
      </c>
      <c r="K324" s="307">
        <f t="shared" ca="1" si="131"/>
        <v>1262.549535010538</v>
      </c>
      <c r="L324" s="304">
        <f t="shared" ref="L324:L387" ca="1" si="145">SQRT(pos_x^2+pos_z^2)</f>
        <v>1320.4772129014784</v>
      </c>
      <c r="M324" s="306">
        <f t="shared" ca="1" si="132"/>
        <v>0.54429685922682802</v>
      </c>
      <c r="N324" s="304">
        <f t="shared" ca="1" si="133"/>
        <v>31.185912835923546</v>
      </c>
      <c r="P324" s="310">
        <f t="shared" ca="1" si="134"/>
        <v>23</v>
      </c>
      <c r="Q324" s="304">
        <f t="shared" ca="1" si="135"/>
        <v>0</v>
      </c>
      <c r="R324" s="306">
        <f t="shared" ca="1" si="136"/>
        <v>0</v>
      </c>
      <c r="S324" s="307">
        <f t="shared" ca="1" si="137"/>
        <v>8.5499999999999989</v>
      </c>
      <c r="T324" s="304">
        <f t="shared" ref="T324:T387" ca="1" si="146">m*g</f>
        <v>83.875499999999988</v>
      </c>
      <c r="U324" s="311">
        <f t="shared" ref="U324:U387" ca="1" si="147">IF(pos_xz&lt;L_rampe,Poids*COS(Beta),0)</f>
        <v>0</v>
      </c>
      <c r="V324" s="306">
        <f t="shared" ref="V324:V387" ca="1" si="148">Rho_moyen*(20000-Alt_rampe-pos_z)/(20000+Alt_rampe+pos_z)</f>
        <v>1.0795213801532817</v>
      </c>
      <c r="W324" s="304">
        <f t="shared" ref="W324:W387" ca="1" si="149">1/2*Rho*Sref*Cx*vit_xz^2</f>
        <v>2.6257860473474364</v>
      </c>
      <c r="Y324" s="314" t="str">
        <f t="shared" ca="1" si="138"/>
        <v/>
      </c>
      <c r="Z324" s="315" t="str">
        <f t="shared" ca="1" si="139"/>
        <v/>
      </c>
      <c r="AA324" s="316" t="str">
        <f t="shared" ca="1" si="140"/>
        <v/>
      </c>
      <c r="AC324" s="310">
        <f t="shared" ca="1" si="141"/>
        <v>13.999999999999968</v>
      </c>
      <c r="AD324" s="323">
        <f t="shared" ca="1" si="142"/>
        <v>386.81874493970764</v>
      </c>
      <c r="AE324" s="324">
        <f t="shared" ref="AE324:AE387" ca="1" si="150">IF(t&lt;T_para, pos_z, NA())</f>
        <v>1262.549535010538</v>
      </c>
      <c r="AG324" s="306">
        <f t="shared" ca="1" si="143"/>
        <v>-5.6437813837792756</v>
      </c>
      <c r="AH324" s="304">
        <f t="shared" ca="1" si="144"/>
        <v>-0.31938447100246359</v>
      </c>
    </row>
    <row r="325" spans="1:34" x14ac:dyDescent="0.3">
      <c r="A325" s="347">
        <f t="shared" ref="A325:A388" ca="1" si="151">IF(B324+0.01&lt;=T_ini+ROUNDUP(Temps_fin_propu,0), 0.01, IF(K324&gt;0, 0.1, 0.0001))</f>
        <v>0.1</v>
      </c>
      <c r="B325" s="304">
        <f t="shared" ref="B325:B388" ca="1" si="152">B324+pas</f>
        <v>14.099999999999968</v>
      </c>
      <c r="D325" s="306">
        <f t="shared" ref="D325:D388" ca="1" si="153">IF(AND(L324&lt;L_rampe,Poussee&lt;Poids*SIN(M324)),0,(-W324+Poussee)/m*COS(M324)-U324/m*SIN(M324))</f>
        <v>-0.26272957983367162</v>
      </c>
      <c r="E325" s="307">
        <f t="shared" ref="E325:E388" ca="1" si="154">IF(AND(L324&lt;L_rampe,Poussee&lt;Poids*SIN(M324)),0,(-W324+Poussee)/m*SIN(M324)+U324/m*COS(M324)-Poids/m)</f>
        <v>-9.96902641324127</v>
      </c>
      <c r="F325" s="304">
        <f t="shared" ref="F325:F388" ca="1" si="155">SQRT(acc_x^2+acc_z^2)</f>
        <v>9.9724878771559151</v>
      </c>
      <c r="G325" s="306">
        <f t="shared" ref="G325:G388" ca="1" si="156">G324+acc_x*pas</f>
        <v>23.94143273873561</v>
      </c>
      <c r="H325" s="307">
        <f t="shared" ref="H325:H388" ca="1" si="157">H324+acc_z*pas</f>
        <v>13.51040282837031</v>
      </c>
      <c r="I325" s="304">
        <f t="shared" ref="I325:I388" ca="1" si="158">SQRT(vit_x^2+vit_z^2)</f>
        <v>27.490419897997882</v>
      </c>
      <c r="J325" s="306">
        <f t="shared" ref="J325:J388" ca="1" si="159">J324+0.5*(vit_x+G324)*pas*(K324&gt;=0)</f>
        <v>389.21420186148038</v>
      </c>
      <c r="K325" s="307">
        <f t="shared" ref="K325:K388" ca="1" si="160">K324+0.5*(vit_z+H324)*pas</f>
        <v>1263.9504204254413</v>
      </c>
      <c r="L325" s="304">
        <f t="shared" ca="1" si="145"/>
        <v>1322.5197012613155</v>
      </c>
      <c r="M325" s="306">
        <f t="shared" ref="M325:M388" ca="1" si="161">IF(AND(L324&gt;L_rampe,G325&gt;0),ATAN2(G325,H325),$M$4)</f>
        <v>0.5137637616443147</v>
      </c>
      <c r="N325" s="304">
        <f t="shared" ref="N325:N388" ca="1" si="162">DEGREES(Beta)</f>
        <v>29.436495208984436</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8.5499999999999989</v>
      </c>
      <c r="T325" s="304">
        <f t="shared" ca="1" si="146"/>
        <v>83.875499999999988</v>
      </c>
      <c r="U325" s="311">
        <f t="shared" ca="1" si="147"/>
        <v>0</v>
      </c>
      <c r="V325" s="306">
        <f t="shared" ca="1" si="148"/>
        <v>1.0793695565115802</v>
      </c>
      <c r="W325" s="304">
        <f t="shared" ca="1" si="149"/>
        <v>2.5277817424314244</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f t="shared" ca="1" si="150"/>
        <v>1263.9504204254413</v>
      </c>
      <c r="AG325" s="306">
        <f t="shared" ref="AG325:AG388" ca="1" si="172">IF(AND(L324&lt;L_rampe,Poussee&lt;Poids*SIN(M324)),0,(-W324+Poussee)/m-Poids*SIN(M324)/m)</f>
        <v>-5.3868911839394427</v>
      </c>
      <c r="AH325" s="304">
        <f t="shared" ref="AH325:AH388" ca="1" si="173">IF(AND(L324&lt;L_rampe,Poussee&lt;Poids*SIN(M324)), g*SIN(M324), (-W324+Poussee)/m)</f>
        <v>-0.30710947922192244</v>
      </c>
    </row>
    <row r="326" spans="1:34" x14ac:dyDescent="0.3">
      <c r="A326" s="347">
        <f t="shared" ca="1" si="151"/>
        <v>0.1</v>
      </c>
      <c r="B326" s="304">
        <f t="shared" ca="1" si="152"/>
        <v>14.199999999999967</v>
      </c>
      <c r="D326" s="306">
        <f t="shared" ca="1" si="153"/>
        <v>-0.25747924149439544</v>
      </c>
      <c r="E326" s="307">
        <f t="shared" ca="1" si="154"/>
        <v>-9.9552982497118609</v>
      </c>
      <c r="F326" s="304">
        <f t="shared" ca="1" si="155"/>
        <v>9.958627355239102</v>
      </c>
      <c r="G326" s="306">
        <f t="shared" ca="1" si="156"/>
        <v>23.915684814586172</v>
      </c>
      <c r="H326" s="307">
        <f t="shared" ca="1" si="157"/>
        <v>12.514873003399124</v>
      </c>
      <c r="I326" s="304">
        <f t="shared" ca="1" si="158"/>
        <v>26.992258639132736</v>
      </c>
      <c r="J326" s="306">
        <f t="shared" ca="1" si="159"/>
        <v>391.60705773914646</v>
      </c>
      <c r="K326" s="307">
        <f t="shared" ca="1" si="160"/>
        <v>1265.2516842170298</v>
      </c>
      <c r="L326" s="304">
        <f t="shared" ca="1" si="145"/>
        <v>1324.4689169947108</v>
      </c>
      <c r="M326" s="306">
        <f t="shared" ca="1" si="161"/>
        <v>0.48210666472464159</v>
      </c>
      <c r="N326" s="304">
        <f t="shared" ca="1" si="162"/>
        <v>27.622677163850568</v>
      </c>
      <c r="P326" s="310">
        <f t="shared" ca="1" si="163"/>
        <v>23</v>
      </c>
      <c r="Q326" s="304">
        <f t="shared" ca="1" si="164"/>
        <v>0</v>
      </c>
      <c r="R326" s="306">
        <f t="shared" ca="1" si="165"/>
        <v>0</v>
      </c>
      <c r="S326" s="307">
        <f t="shared" ca="1" si="166"/>
        <v>8.5499999999999989</v>
      </c>
      <c r="T326" s="304">
        <f t="shared" ca="1" si="146"/>
        <v>83.875499999999988</v>
      </c>
      <c r="U326" s="311">
        <f t="shared" ca="1" si="147"/>
        <v>0</v>
      </c>
      <c r="V326" s="306">
        <f t="shared" ca="1" si="148"/>
        <v>1.0792285474743557</v>
      </c>
      <c r="W326" s="304">
        <f t="shared" ca="1" si="149"/>
        <v>2.436680226911208</v>
      </c>
      <c r="Y326" s="314" t="str">
        <f t="shared" ca="1" si="167"/>
        <v/>
      </c>
      <c r="Z326" s="315" t="str">
        <f t="shared" ca="1" si="168"/>
        <v/>
      </c>
      <c r="AA326" s="316" t="str">
        <f t="shared" ca="1" si="169"/>
        <v/>
      </c>
      <c r="AC326" s="310" t="e">
        <f t="shared" ca="1" si="170"/>
        <v>#N/A</v>
      </c>
      <c r="AD326" s="323" t="e">
        <f t="shared" ca="1" si="171"/>
        <v>#N/A</v>
      </c>
      <c r="AE326" s="324">
        <f t="shared" ca="1" si="150"/>
        <v>1265.2516842170298</v>
      </c>
      <c r="AG326" s="306">
        <f t="shared" ca="1" si="172"/>
        <v>-5.1168556935094482</v>
      </c>
      <c r="AH326" s="304">
        <f t="shared" ca="1" si="173"/>
        <v>-0.29564698741888007</v>
      </c>
    </row>
    <row r="327" spans="1:34" x14ac:dyDescent="0.3">
      <c r="A327" s="347">
        <f t="shared" ca="1" si="151"/>
        <v>0.1</v>
      </c>
      <c r="B327" s="304">
        <f t="shared" ca="1" si="152"/>
        <v>14.299999999999967</v>
      </c>
      <c r="D327" s="306">
        <f t="shared" ca="1" si="153"/>
        <v>-0.25250850983079565</v>
      </c>
      <c r="E327" s="307">
        <f t="shared" ca="1" si="154"/>
        <v>-9.9421355402243226</v>
      </c>
      <c r="F327" s="304">
        <f t="shared" ca="1" si="155"/>
        <v>9.945341605381314</v>
      </c>
      <c r="G327" s="306">
        <f t="shared" ca="1" si="156"/>
        <v>23.89043396360309</v>
      </c>
      <c r="H327" s="307">
        <f t="shared" ca="1" si="157"/>
        <v>11.520659449376693</v>
      </c>
      <c r="I327" s="304">
        <f t="shared" ca="1" si="158"/>
        <v>26.523167780598769</v>
      </c>
      <c r="J327" s="306">
        <f t="shared" ca="1" si="159"/>
        <v>393.99736367805593</v>
      </c>
      <c r="K327" s="307">
        <f t="shared" ca="1" si="160"/>
        <v>1266.4534608396687</v>
      </c>
      <c r="L327" s="304">
        <f t="shared" ca="1" si="145"/>
        <v>1326.325107602971</v>
      </c>
      <c r="M327" s="306">
        <f t="shared" ca="1" si="161"/>
        <v>0.44932998380053646</v>
      </c>
      <c r="N327" s="304">
        <f t="shared" ca="1" si="162"/>
        <v>25.74471168045239</v>
      </c>
      <c r="P327" s="310">
        <f t="shared" ca="1" si="163"/>
        <v>23</v>
      </c>
      <c r="Q327" s="304">
        <f t="shared" ca="1" si="164"/>
        <v>0</v>
      </c>
      <c r="R327" s="306">
        <f t="shared" ca="1" si="165"/>
        <v>0</v>
      </c>
      <c r="S327" s="307">
        <f t="shared" ca="1" si="166"/>
        <v>8.5499999999999989</v>
      </c>
      <c r="T327" s="304">
        <f t="shared" ca="1" si="146"/>
        <v>83.875499999999988</v>
      </c>
      <c r="U327" s="311">
        <f t="shared" ca="1" si="147"/>
        <v>0</v>
      </c>
      <c r="V327" s="306">
        <f t="shared" ca="1" si="148"/>
        <v>1.079098334507409</v>
      </c>
      <c r="W327" s="304">
        <f t="shared" ca="1" si="149"/>
        <v>2.3524395294281524</v>
      </c>
      <c r="Y327" s="314" t="str">
        <f t="shared" ca="1" si="167"/>
        <v/>
      </c>
      <c r="Z327" s="315" t="str">
        <f t="shared" ca="1" si="168"/>
        <v/>
      </c>
      <c r="AA327" s="316" t="str">
        <f t="shared" ca="1" si="169"/>
        <v/>
      </c>
      <c r="AC327" s="310" t="e">
        <f t="shared" ca="1" si="170"/>
        <v>#N/A</v>
      </c>
      <c r="AD327" s="323" t="e">
        <f t="shared" ca="1" si="171"/>
        <v>#N/A</v>
      </c>
      <c r="AE327" s="324">
        <f t="shared" ca="1" si="150"/>
        <v>1266.4534608396687</v>
      </c>
      <c r="AG327" s="306">
        <f t="shared" ca="1" si="172"/>
        <v>-4.8333664606139939</v>
      </c>
      <c r="AH327" s="304">
        <f t="shared" ca="1" si="173"/>
        <v>-0.2849918394048197</v>
      </c>
    </row>
    <row r="328" spans="1:34" x14ac:dyDescent="0.3">
      <c r="A328" s="347">
        <f t="shared" ca="1" si="151"/>
        <v>0.1</v>
      </c>
      <c r="B328" s="304">
        <f t="shared" ca="1" si="152"/>
        <v>14.399999999999967</v>
      </c>
      <c r="D328" s="306">
        <f t="shared" ca="1" si="153"/>
        <v>-0.24782835824237917</v>
      </c>
      <c r="E328" s="307">
        <f t="shared" ca="1" si="154"/>
        <v>-9.9295100148267874</v>
      </c>
      <c r="F328" s="304">
        <f t="shared" ca="1" si="155"/>
        <v>9.932602278843877</v>
      </c>
      <c r="G328" s="306">
        <f t="shared" ca="1" si="156"/>
        <v>23.865651127778854</v>
      </c>
      <c r="H328" s="307">
        <f t="shared" ca="1" si="157"/>
        <v>10.527708447894014</v>
      </c>
      <c r="I328" s="304">
        <f t="shared" ca="1" si="158"/>
        <v>26.084515500900359</v>
      </c>
      <c r="J328" s="306">
        <f t="shared" ca="1" si="159"/>
        <v>396.38516793262505</v>
      </c>
      <c r="K328" s="307">
        <f t="shared" ca="1" si="160"/>
        <v>1267.5558792345321</v>
      </c>
      <c r="L328" s="304">
        <f t="shared" ca="1" si="145"/>
        <v>1328.0885167559438</v>
      </c>
      <c r="M328" s="306">
        <f t="shared" ca="1" si="161"/>
        <v>0.41544806665666778</v>
      </c>
      <c r="N328" s="304">
        <f t="shared" ca="1" si="162"/>
        <v>23.803420826296765</v>
      </c>
      <c r="P328" s="310">
        <f t="shared" ca="1" si="163"/>
        <v>23</v>
      </c>
      <c r="Q328" s="304">
        <f t="shared" ca="1" si="164"/>
        <v>0</v>
      </c>
      <c r="R328" s="306">
        <f t="shared" ca="1" si="165"/>
        <v>0</v>
      </c>
      <c r="S328" s="307">
        <f t="shared" ca="1" si="166"/>
        <v>8.5499999999999989</v>
      </c>
      <c r="T328" s="304">
        <f t="shared" ca="1" si="146"/>
        <v>83.875499999999988</v>
      </c>
      <c r="U328" s="311">
        <f t="shared" ca="1" si="147"/>
        <v>0</v>
      </c>
      <c r="V328" s="306">
        <f t="shared" ca="1" si="148"/>
        <v>1.0789788999846099</v>
      </c>
      <c r="W328" s="304">
        <f t="shared" ca="1" si="149"/>
        <v>2.2750197013988491</v>
      </c>
      <c r="Y328" s="314" t="str">
        <f t="shared" ca="1" si="167"/>
        <v/>
      </c>
      <c r="Z328" s="315" t="str">
        <f t="shared" ca="1" si="168"/>
        <v/>
      </c>
      <c r="AA328" s="316" t="str">
        <f t="shared" ca="1" si="169"/>
        <v/>
      </c>
      <c r="AC328" s="310" t="e">
        <f t="shared" ca="1" si="170"/>
        <v>#N/A</v>
      </c>
      <c r="AD328" s="323" t="e">
        <f t="shared" ca="1" si="171"/>
        <v>#N/A</v>
      </c>
      <c r="AE328" s="324">
        <f t="shared" ca="1" si="150"/>
        <v>1267.5558792345321</v>
      </c>
      <c r="AG328" s="306">
        <f t="shared" ca="1" si="172"/>
        <v>-4.5362315467800549</v>
      </c>
      <c r="AH328" s="304">
        <f t="shared" ca="1" si="173"/>
        <v>-0.27513912624890674</v>
      </c>
    </row>
    <row r="329" spans="1:34" x14ac:dyDescent="0.3">
      <c r="A329" s="347">
        <f t="shared" ca="1" si="151"/>
        <v>0.1</v>
      </c>
      <c r="B329" s="304">
        <f t="shared" ca="1" si="152"/>
        <v>14.499999999999966</v>
      </c>
      <c r="D329" s="306">
        <f t="shared" ca="1" si="153"/>
        <v>-0.24344987758448758</v>
      </c>
      <c r="E329" s="307">
        <f t="shared" ca="1" si="154"/>
        <v>-9.9173915527870005</v>
      </c>
      <c r="F329" s="304">
        <f t="shared" ca="1" si="155"/>
        <v>9.9203791789521265</v>
      </c>
      <c r="G329" s="306">
        <f t="shared" ca="1" si="156"/>
        <v>23.841306140020404</v>
      </c>
      <c r="H329" s="307">
        <f t="shared" ca="1" si="157"/>
        <v>9.535969292615313</v>
      </c>
      <c r="I329" s="304">
        <f t="shared" ca="1" si="158"/>
        <v>25.677667121681377</v>
      </c>
      <c r="J329" s="306">
        <f t="shared" ca="1" si="159"/>
        <v>398.77051579601499</v>
      </c>
      <c r="K329" s="307">
        <f t="shared" ca="1" si="160"/>
        <v>1268.5590631215575</v>
      </c>
      <c r="L329" s="304">
        <f t="shared" ca="1" si="145"/>
        <v>1329.7593845865738</v>
      </c>
      <c r="M329" s="306">
        <f t="shared" ca="1" si="161"/>
        <v>0.38048637532193308</v>
      </c>
      <c r="N329" s="304">
        <f t="shared" ca="1" si="162"/>
        <v>21.800263468177366</v>
      </c>
      <c r="P329" s="310">
        <f t="shared" ca="1" si="163"/>
        <v>23</v>
      </c>
      <c r="Q329" s="304">
        <f t="shared" ca="1" si="164"/>
        <v>0</v>
      </c>
      <c r="R329" s="306">
        <f t="shared" ca="1" si="165"/>
        <v>0</v>
      </c>
      <c r="S329" s="307">
        <f t="shared" ca="1" si="166"/>
        <v>8.5499999999999989</v>
      </c>
      <c r="T329" s="304">
        <f t="shared" ca="1" si="146"/>
        <v>83.875499999999988</v>
      </c>
      <c r="U329" s="311">
        <f t="shared" ca="1" si="147"/>
        <v>0</v>
      </c>
      <c r="V329" s="306">
        <f t="shared" ca="1" si="148"/>
        <v>1.0788702271543702</v>
      </c>
      <c r="W329" s="304">
        <f t="shared" ca="1" si="149"/>
        <v>2.2043827223473249</v>
      </c>
      <c r="Y329" s="314" t="str">
        <f t="shared" ca="1" si="167"/>
        <v/>
      </c>
      <c r="Z329" s="315" t="str">
        <f t="shared" ca="1" si="168"/>
        <v/>
      </c>
      <c r="AA329" s="316" t="str">
        <f t="shared" ca="1" si="169"/>
        <v/>
      </c>
      <c r="AC329" s="310" t="e">
        <f t="shared" ca="1" si="170"/>
        <v>#N/A</v>
      </c>
      <c r="AD329" s="323" t="e">
        <f t="shared" ca="1" si="171"/>
        <v>#N/A</v>
      </c>
      <c r="AE329" s="324">
        <f t="shared" ca="1" si="150"/>
        <v>1268.5590631215575</v>
      </c>
      <c r="AG329" s="306">
        <f t="shared" ca="1" si="172"/>
        <v>-4.2253994203218346</v>
      </c>
      <c r="AH329" s="304">
        <f t="shared" ca="1" si="173"/>
        <v>-0.2660841756022046</v>
      </c>
    </row>
    <row r="330" spans="1:34" x14ac:dyDescent="0.3">
      <c r="A330" s="347">
        <f t="shared" ca="1" si="151"/>
        <v>0.1</v>
      </c>
      <c r="B330" s="304">
        <f t="shared" ca="1" si="152"/>
        <v>14.599999999999966</v>
      </c>
      <c r="D330" s="306">
        <f t="shared" ca="1" si="153"/>
        <v>-0.2393841345368273</v>
      </c>
      <c r="E330" s="307">
        <f t="shared" ca="1" si="154"/>
        <v>-9.9057480996500704</v>
      </c>
      <c r="F330" s="304">
        <f t="shared" ca="1" si="155"/>
        <v>9.9086401780258893</v>
      </c>
      <c r="G330" s="306">
        <f t="shared" ca="1" si="156"/>
        <v>23.817367726566722</v>
      </c>
      <c r="H330" s="307">
        <f t="shared" ca="1" si="157"/>
        <v>8.5453944826503054</v>
      </c>
      <c r="I330" s="304">
        <f t="shared" ca="1" si="158"/>
        <v>25.303967520659924</v>
      </c>
      <c r="J330" s="306">
        <f t="shared" ca="1" si="159"/>
        <v>401.15344948934433</v>
      </c>
      <c r="K330" s="307">
        <f t="shared" ca="1" si="160"/>
        <v>1269.4631313103207</v>
      </c>
      <c r="L330" s="304">
        <f t="shared" ca="1" si="145"/>
        <v>1331.3379480032124</v>
      </c>
      <c r="M330" s="306">
        <f t="shared" ca="1" si="161"/>
        <v>0.34448254573019255</v>
      </c>
      <c r="N330" s="304">
        <f t="shared" ca="1" si="162"/>
        <v>19.73739598626241</v>
      </c>
      <c r="P330" s="310">
        <f t="shared" ca="1" si="163"/>
        <v>23</v>
      </c>
      <c r="Q330" s="304">
        <f t="shared" ca="1" si="164"/>
        <v>0</v>
      </c>
      <c r="R330" s="306">
        <f t="shared" ca="1" si="165"/>
        <v>0</v>
      </c>
      <c r="S330" s="307">
        <f t="shared" ca="1" si="166"/>
        <v>8.5499999999999989</v>
      </c>
      <c r="T330" s="304">
        <f t="shared" ca="1" si="146"/>
        <v>83.875499999999988</v>
      </c>
      <c r="U330" s="311">
        <f t="shared" ca="1" si="147"/>
        <v>0</v>
      </c>
      <c r="V330" s="306">
        <f t="shared" ca="1" si="148"/>
        <v>1.078772300104188</v>
      </c>
      <c r="W330" s="304">
        <f t="shared" ca="1" si="149"/>
        <v>2.1404924015622888</v>
      </c>
      <c r="Y330" s="314" t="str">
        <f t="shared" ca="1" si="167"/>
        <v/>
      </c>
      <c r="Z330" s="315" t="str">
        <f t="shared" ca="1" si="168"/>
        <v/>
      </c>
      <c r="AA330" s="316" t="str">
        <f t="shared" ca="1" si="169"/>
        <v/>
      </c>
      <c r="AC330" s="310" t="e">
        <f t="shared" ca="1" si="170"/>
        <v>#N/A</v>
      </c>
      <c r="AD330" s="323" t="e">
        <f t="shared" ca="1" si="171"/>
        <v>#N/A</v>
      </c>
      <c r="AE330" s="324">
        <f t="shared" ca="1" si="150"/>
        <v>1269.4631313103207</v>
      </c>
      <c r="AG330" s="306">
        <f t="shared" ca="1" si="172"/>
        <v>-3.9009828914957461</v>
      </c>
      <c r="AH330" s="304">
        <f t="shared" ca="1" si="173"/>
        <v>-0.25782254062541815</v>
      </c>
    </row>
    <row r="331" spans="1:34" x14ac:dyDescent="0.3">
      <c r="A331" s="347">
        <f t="shared" ca="1" si="151"/>
        <v>0.1</v>
      </c>
      <c r="B331" s="304">
        <f t="shared" ca="1" si="152"/>
        <v>14.699999999999966</v>
      </c>
      <c r="D331" s="306">
        <f t="shared" ca="1" si="153"/>
        <v>-0.23564200875866326</v>
      </c>
      <c r="E331" s="307">
        <f t="shared" ca="1" si="154"/>
        <v>-9.8945456116160493</v>
      </c>
      <c r="F331" s="304">
        <f t="shared" ca="1" si="155"/>
        <v>9.8973511616311889</v>
      </c>
      <c r="G331" s="306">
        <f t="shared" ca="1" si="156"/>
        <v>23.793803525690855</v>
      </c>
      <c r="H331" s="307">
        <f t="shared" ca="1" si="157"/>
        <v>7.5559399214887009</v>
      </c>
      <c r="I331" s="304">
        <f t="shared" ca="1" si="158"/>
        <v>24.964721394726702</v>
      </c>
      <c r="J331" s="306">
        <f t="shared" ca="1" si="159"/>
        <v>403.53400805195719</v>
      </c>
      <c r="K331" s="307">
        <f t="shared" ca="1" si="160"/>
        <v>1270.2681980305276</v>
      </c>
      <c r="L331" s="304">
        <f t="shared" ca="1" si="145"/>
        <v>1332.8244410207221</v>
      </c>
      <c r="M331" s="306">
        <f t="shared" ca="1" si="161"/>
        <v>0.30748725070481342</v>
      </c>
      <c r="N331" s="304">
        <f t="shared" ca="1" si="162"/>
        <v>17.617721719466857</v>
      </c>
      <c r="P331" s="310">
        <f t="shared" ca="1" si="163"/>
        <v>23</v>
      </c>
      <c r="Q331" s="304">
        <f t="shared" ca="1" si="164"/>
        <v>0</v>
      </c>
      <c r="R331" s="306">
        <f t="shared" ca="1" si="165"/>
        <v>0</v>
      </c>
      <c r="S331" s="307">
        <f t="shared" ca="1" si="166"/>
        <v>8.5499999999999989</v>
      </c>
      <c r="T331" s="304">
        <f t="shared" ca="1" si="146"/>
        <v>83.875499999999988</v>
      </c>
      <c r="U331" s="311">
        <f t="shared" ca="1" si="147"/>
        <v>0</v>
      </c>
      <c r="V331" s="306">
        <f t="shared" ca="1" si="148"/>
        <v>1.0786851037231888</v>
      </c>
      <c r="W331" s="304">
        <f t="shared" ca="1" si="149"/>
        <v>2.0833142758598586</v>
      </c>
      <c r="Y331" s="314" t="str">
        <f t="shared" ca="1" si="167"/>
        <v/>
      </c>
      <c r="Z331" s="315" t="str">
        <f t="shared" ca="1" si="168"/>
        <v/>
      </c>
      <c r="AA331" s="316" t="str">
        <f t="shared" ca="1" si="169"/>
        <v/>
      </c>
      <c r="AC331" s="310" t="e">
        <f t="shared" ca="1" si="170"/>
        <v>#N/A</v>
      </c>
      <c r="AD331" s="323" t="e">
        <f t="shared" ca="1" si="171"/>
        <v>#N/A</v>
      </c>
      <c r="AE331" s="324">
        <f t="shared" ca="1" si="150"/>
        <v>1270.2681980305276</v>
      </c>
      <c r="AG331" s="306">
        <f t="shared" ca="1" si="172"/>
        <v>-3.5632818362831982</v>
      </c>
      <c r="AH331" s="304">
        <f t="shared" ca="1" si="173"/>
        <v>-0.25034998848681744</v>
      </c>
    </row>
    <row r="332" spans="1:34" x14ac:dyDescent="0.3">
      <c r="A332" s="347">
        <f t="shared" ca="1" si="151"/>
        <v>0.1</v>
      </c>
      <c r="B332" s="304">
        <f t="shared" ca="1" si="152"/>
        <v>14.799999999999965</v>
      </c>
      <c r="D332" s="306">
        <f t="shared" ca="1" si="153"/>
        <v>-0.23223401070704877</v>
      </c>
      <c r="E332" s="307">
        <f t="shared" ca="1" si="154"/>
        <v>-9.8837480340515622</v>
      </c>
      <c r="F332" s="304">
        <f t="shared" ca="1" si="155"/>
        <v>9.8864760069676603</v>
      </c>
      <c r="G332" s="306">
        <f t="shared" ca="1" si="156"/>
        <v>23.77058012462015</v>
      </c>
      <c r="H332" s="307">
        <f t="shared" ca="1" si="157"/>
        <v>6.5675651180835448</v>
      </c>
      <c r="I332" s="304">
        <f t="shared" ca="1" si="158"/>
        <v>24.661171728878866</v>
      </c>
      <c r="J332" s="306">
        <f t="shared" ca="1" si="159"/>
        <v>405.91222723447271</v>
      </c>
      <c r="K332" s="307">
        <f t="shared" ca="1" si="160"/>
        <v>1270.9743732825063</v>
      </c>
      <c r="L332" s="304">
        <f t="shared" ca="1" si="145"/>
        <v>1334.2190951111852</v>
      </c>
      <c r="M332" s="306">
        <f t="shared" ca="1" si="161"/>
        <v>0.26956478681439028</v>
      </c>
      <c r="N332" s="304">
        <f t="shared" ca="1" si="162"/>
        <v>15.444924589808346</v>
      </c>
      <c r="P332" s="310">
        <f t="shared" ca="1" si="163"/>
        <v>23</v>
      </c>
      <c r="Q332" s="304">
        <f t="shared" ca="1" si="164"/>
        <v>0</v>
      </c>
      <c r="R332" s="306">
        <f t="shared" ca="1" si="165"/>
        <v>0</v>
      </c>
      <c r="S332" s="307">
        <f t="shared" ca="1" si="166"/>
        <v>8.5499999999999989</v>
      </c>
      <c r="T332" s="304">
        <f t="shared" ca="1" si="146"/>
        <v>83.875499999999988</v>
      </c>
      <c r="U332" s="311">
        <f t="shared" ca="1" si="147"/>
        <v>0</v>
      </c>
      <c r="V332" s="306">
        <f t="shared" ca="1" si="148"/>
        <v>1.0786086236626116</v>
      </c>
      <c r="W332" s="304">
        <f t="shared" ca="1" si="149"/>
        <v>2.0328155033151916</v>
      </c>
      <c r="Y332" s="314" t="str">
        <f t="shared" ca="1" si="167"/>
        <v/>
      </c>
      <c r="Z332" s="315" t="str">
        <f t="shared" ca="1" si="168"/>
        <v/>
      </c>
      <c r="AA332" s="316" t="str">
        <f t="shared" ca="1" si="169"/>
        <v/>
      </c>
      <c r="AC332" s="310" t="e">
        <f t="shared" ca="1" si="170"/>
        <v>#N/A</v>
      </c>
      <c r="AD332" s="323" t="e">
        <f t="shared" ca="1" si="171"/>
        <v>#N/A</v>
      </c>
      <c r="AE332" s="324">
        <f t="shared" ca="1" si="150"/>
        <v>1270.9743732825063</v>
      </c>
      <c r="AG332" s="306">
        <f t="shared" ca="1" si="172"/>
        <v>-3.2128031993224813</v>
      </c>
      <c r="AH332" s="304">
        <f t="shared" ca="1" si="173"/>
        <v>-0.24366248840466187</v>
      </c>
    </row>
    <row r="333" spans="1:34" x14ac:dyDescent="0.3">
      <c r="A333" s="347">
        <f t="shared" ca="1" si="151"/>
        <v>0.1</v>
      </c>
      <c r="B333" s="304">
        <f t="shared" ca="1" si="152"/>
        <v>14.899999999999965</v>
      </c>
      <c r="D333" s="306">
        <f t="shared" ca="1" si="153"/>
        <v>-0.22917008347263723</v>
      </c>
      <c r="E333" s="307">
        <f t="shared" ca="1" si="154"/>
        <v>-9.8733173207566907</v>
      </c>
      <c r="F333" s="304">
        <f t="shared" ca="1" si="155"/>
        <v>9.8759766020132371</v>
      </c>
      <c r="G333" s="306">
        <f t="shared" ca="1" si="156"/>
        <v>23.747663116272886</v>
      </c>
      <c r="H333" s="307">
        <f t="shared" ca="1" si="157"/>
        <v>5.5802333860078761</v>
      </c>
      <c r="I333" s="304">
        <f t="shared" ca="1" si="158"/>
        <v>24.394477000466818</v>
      </c>
      <c r="J333" s="306">
        <f t="shared" ca="1" si="159"/>
        <v>408.28813939651735</v>
      </c>
      <c r="K333" s="307">
        <f t="shared" ca="1" si="160"/>
        <v>1271.581763207711</v>
      </c>
      <c r="L333" s="304">
        <f t="shared" ca="1" si="145"/>
        <v>1335.5221395747437</v>
      </c>
      <c r="M333" s="306">
        <f t="shared" ca="1" si="161"/>
        <v>0.23079330658642835</v>
      </c>
      <c r="N333" s="304">
        <f t="shared" ca="1" si="162"/>
        <v>13.223482407271209</v>
      </c>
      <c r="P333" s="310">
        <f t="shared" ca="1" si="163"/>
        <v>23</v>
      </c>
      <c r="Q333" s="304">
        <f t="shared" ca="1" si="164"/>
        <v>0</v>
      </c>
      <c r="R333" s="306">
        <f t="shared" ca="1" si="165"/>
        <v>0</v>
      </c>
      <c r="S333" s="307">
        <f t="shared" ca="1" si="166"/>
        <v>8.5499999999999989</v>
      </c>
      <c r="T333" s="304">
        <f t="shared" ca="1" si="146"/>
        <v>83.875499999999988</v>
      </c>
      <c r="U333" s="311">
        <f t="shared" ca="1" si="147"/>
        <v>0</v>
      </c>
      <c r="V333" s="306">
        <f t="shared" ca="1" si="148"/>
        <v>1.0785428462942335</v>
      </c>
      <c r="W333" s="304">
        <f t="shared" ca="1" si="149"/>
        <v>1.9889647529268411</v>
      </c>
      <c r="Y333" s="314" t="str">
        <f t="shared" ca="1" si="167"/>
        <v/>
      </c>
      <c r="Z333" s="315" t="str">
        <f t="shared" ca="1" si="168"/>
        <v/>
      </c>
      <c r="AA333" s="316" t="str">
        <f t="shared" ca="1" si="169"/>
        <v/>
      </c>
      <c r="AC333" s="310" t="e">
        <f t="shared" ca="1" si="170"/>
        <v>#N/A</v>
      </c>
      <c r="AD333" s="323" t="e">
        <f t="shared" ca="1" si="171"/>
        <v>#N/A</v>
      </c>
      <c r="AE333" s="324">
        <f t="shared" ca="1" si="150"/>
        <v>1271.581763207711</v>
      </c>
      <c r="AG333" s="306">
        <f t="shared" ca="1" si="172"/>
        <v>-2.8502765821386813</v>
      </c>
      <c r="AH333" s="304">
        <f t="shared" ca="1" si="173"/>
        <v>-0.23775619921815108</v>
      </c>
    </row>
    <row r="334" spans="1:34" x14ac:dyDescent="0.3">
      <c r="A334" s="347">
        <f t="shared" ca="1" si="151"/>
        <v>0.1</v>
      </c>
      <c r="B334" s="304">
        <f t="shared" ca="1" si="152"/>
        <v>14.999999999999964</v>
      </c>
      <c r="D334" s="306">
        <f t="shared" ca="1" si="153"/>
        <v>-0.22645939357667716</v>
      </c>
      <c r="E334" s="307">
        <f t="shared" ca="1" si="154"/>
        <v>-9.863213499889417</v>
      </c>
      <c r="F334" s="304">
        <f t="shared" ca="1" si="155"/>
        <v>9.8658129113286943</v>
      </c>
      <c r="G334" s="306">
        <f t="shared" ca="1" si="156"/>
        <v>23.72501717691522</v>
      </c>
      <c r="H334" s="307">
        <f t="shared" ca="1" si="157"/>
        <v>4.5939120360189341</v>
      </c>
      <c r="I334" s="304">
        <f t="shared" ca="1" si="158"/>
        <v>24.165687820535997</v>
      </c>
      <c r="J334" s="306">
        <f t="shared" ca="1" si="159"/>
        <v>410.66177341117674</v>
      </c>
      <c r="K334" s="307">
        <f t="shared" ca="1" si="160"/>
        <v>1272.0904704788122</v>
      </c>
      <c r="L334" s="304">
        <f t="shared" ca="1" si="145"/>
        <v>1336.7338019307429</v>
      </c>
      <c r="M334" s="306">
        <f t="shared" ca="1" si="161"/>
        <v>0.19126462595101176</v>
      </c>
      <c r="N334" s="304">
        <f t="shared" ca="1" si="162"/>
        <v>10.958655837141333</v>
      </c>
      <c r="P334" s="310">
        <f t="shared" ca="1" si="163"/>
        <v>23</v>
      </c>
      <c r="Q334" s="304">
        <f t="shared" ca="1" si="164"/>
        <v>0</v>
      </c>
      <c r="R334" s="306">
        <f t="shared" ca="1" si="165"/>
        <v>0</v>
      </c>
      <c r="S334" s="307">
        <f t="shared" ca="1" si="166"/>
        <v>8.5499999999999989</v>
      </c>
      <c r="T334" s="304">
        <f t="shared" ca="1" si="146"/>
        <v>83.875499999999988</v>
      </c>
      <c r="U334" s="311">
        <f t="shared" ca="1" si="147"/>
        <v>0</v>
      </c>
      <c r="V334" s="306">
        <f t="shared" ca="1" si="148"/>
        <v>1.0784877586667703</v>
      </c>
      <c r="W334" s="304">
        <f t="shared" ca="1" si="149"/>
        <v>1.9517320902941324</v>
      </c>
      <c r="Y334" s="314" t="str">
        <f t="shared" ca="1" si="167"/>
        <v/>
      </c>
      <c r="Z334" s="315" t="str">
        <f t="shared" ca="1" si="168"/>
        <v/>
      </c>
      <c r="AA334" s="316" t="str">
        <f t="shared" ca="1" si="169"/>
        <v/>
      </c>
      <c r="AC334" s="310">
        <f t="shared" ca="1" si="170"/>
        <v>14.999999999999964</v>
      </c>
      <c r="AD334" s="323">
        <f t="shared" ca="1" si="171"/>
        <v>410.66177341117674</v>
      </c>
      <c r="AE334" s="324">
        <f t="shared" ca="1" si="150"/>
        <v>1272.0904704788122</v>
      </c>
      <c r="AG334" s="306">
        <f t="shared" ca="1" si="172"/>
        <v>-2.4766636584348474</v>
      </c>
      <c r="AH334" s="304">
        <f t="shared" ca="1" si="173"/>
        <v>-0.2326274564826715</v>
      </c>
    </row>
    <row r="335" spans="1:34" x14ac:dyDescent="0.3">
      <c r="A335" s="347">
        <f t="shared" ca="1" si="151"/>
        <v>0.1</v>
      </c>
      <c r="B335" s="304">
        <f t="shared" ca="1" si="152"/>
        <v>15.099999999999964</v>
      </c>
      <c r="D335" s="306">
        <f t="shared" ca="1" si="153"/>
        <v>-0.22411011723973565</v>
      </c>
      <c r="E335" s="307">
        <f t="shared" ca="1" si="154"/>
        <v>-9.8533947911314055</v>
      </c>
      <c r="F335" s="304">
        <f t="shared" ca="1" si="155"/>
        <v>9.8559430931060437</v>
      </c>
      <c r="G335" s="306">
        <f t="shared" ca="1" si="156"/>
        <v>23.702606165191245</v>
      </c>
      <c r="H335" s="307">
        <f t="shared" ca="1" si="157"/>
        <v>3.6085725569057936</v>
      </c>
      <c r="I335" s="304">
        <f t="shared" ca="1" si="158"/>
        <v>23.975723866457415</v>
      </c>
      <c r="J335" s="306">
        <f t="shared" ca="1" si="159"/>
        <v>413.03315457828205</v>
      </c>
      <c r="K335" s="307">
        <f t="shared" ca="1" si="160"/>
        <v>1272.5005947084585</v>
      </c>
      <c r="L335" s="304">
        <f t="shared" ca="1" si="145"/>
        <v>1337.8543083289255</v>
      </c>
      <c r="M335" s="306">
        <f t="shared" ca="1" si="161"/>
        <v>0.15108355359976061</v>
      </c>
      <c r="N335" s="304">
        <f t="shared" ca="1" si="162"/>
        <v>8.6564499751048398</v>
      </c>
      <c r="P335" s="310">
        <f t="shared" ca="1" si="163"/>
        <v>23</v>
      </c>
      <c r="Q335" s="304">
        <f t="shared" ca="1" si="164"/>
        <v>0</v>
      </c>
      <c r="R335" s="306">
        <f t="shared" ca="1" si="165"/>
        <v>0</v>
      </c>
      <c r="S335" s="307">
        <f t="shared" ca="1" si="166"/>
        <v>8.5499999999999989</v>
      </c>
      <c r="T335" s="304">
        <f t="shared" ca="1" si="146"/>
        <v>83.875499999999988</v>
      </c>
      <c r="U335" s="311">
        <f t="shared" ca="1" si="147"/>
        <v>0</v>
      </c>
      <c r="V335" s="306">
        <f t="shared" ca="1" si="148"/>
        <v>1.0784433484603484</v>
      </c>
      <c r="W335" s="304">
        <f t="shared" ca="1" si="149"/>
        <v>1.9210888595176165</v>
      </c>
      <c r="Y335" s="314" t="str">
        <f t="shared" ca="1" si="167"/>
        <v/>
      </c>
      <c r="Z335" s="315" t="str">
        <f t="shared" ca="1" si="168"/>
        <v/>
      </c>
      <c r="AA335" s="316" t="str">
        <f t="shared" ca="1" si="169"/>
        <v/>
      </c>
      <c r="AC335" s="310" t="e">
        <f t="shared" ca="1" si="170"/>
        <v>#N/A</v>
      </c>
      <c r="AD335" s="323" t="e">
        <f t="shared" ca="1" si="171"/>
        <v>#N/A</v>
      </c>
      <c r="AE335" s="324">
        <f t="shared" ca="1" si="150"/>
        <v>1272.5005947084585</v>
      </c>
      <c r="AG335" s="306">
        <f t="shared" ca="1" si="172"/>
        <v>-2.0931597595443945</v>
      </c>
      <c r="AH335" s="304">
        <f t="shared" ca="1" si="173"/>
        <v>-0.22827275909872896</v>
      </c>
    </row>
    <row r="336" spans="1:34" x14ac:dyDescent="0.3">
      <c r="A336" s="347">
        <f t="shared" ca="1" si="151"/>
        <v>0.1</v>
      </c>
      <c r="B336" s="304">
        <f t="shared" ca="1" si="152"/>
        <v>15.199999999999964</v>
      </c>
      <c r="D336" s="306">
        <f t="shared" ca="1" si="153"/>
        <v>-0.2221292300080987</v>
      </c>
      <c r="E336" s="307">
        <f t="shared" ca="1" si="154"/>
        <v>-9.843817776741826</v>
      </c>
      <c r="F336" s="304">
        <f t="shared" ca="1" si="155"/>
        <v>9.84632367010766</v>
      </c>
      <c r="G336" s="306">
        <f t="shared" ca="1" si="156"/>
        <v>23.680393242190434</v>
      </c>
      <c r="H336" s="307">
        <f t="shared" ca="1" si="157"/>
        <v>2.6241907792316108</v>
      </c>
      <c r="I336" s="304">
        <f t="shared" ca="1" si="158"/>
        <v>23.825352071912441</v>
      </c>
      <c r="J336" s="306">
        <f t="shared" ca="1" si="159"/>
        <v>415.40230454865116</v>
      </c>
      <c r="K336" s="307">
        <f t="shared" ca="1" si="160"/>
        <v>1272.8122328752654</v>
      </c>
      <c r="L336" s="304">
        <f t="shared" ca="1" si="145"/>
        <v>1338.8838839799548</v>
      </c>
      <c r="M336" s="306">
        <f t="shared" ca="1" si="161"/>
        <v>0.11036671416668548</v>
      </c>
      <c r="N336" s="304">
        <f t="shared" ca="1" si="162"/>
        <v>6.3235469204777903</v>
      </c>
      <c r="P336" s="310">
        <f t="shared" ca="1" si="163"/>
        <v>23</v>
      </c>
      <c r="Q336" s="304">
        <f t="shared" ca="1" si="164"/>
        <v>0</v>
      </c>
      <c r="R336" s="306">
        <f t="shared" ca="1" si="165"/>
        <v>0</v>
      </c>
      <c r="S336" s="307">
        <f t="shared" ca="1" si="166"/>
        <v>8.5499999999999989</v>
      </c>
      <c r="T336" s="304">
        <f t="shared" ca="1" si="146"/>
        <v>83.875499999999988</v>
      </c>
      <c r="U336" s="311">
        <f t="shared" ca="1" si="147"/>
        <v>0</v>
      </c>
      <c r="V336" s="306">
        <f t="shared" ca="1" si="148"/>
        <v>1.0784096039391915</v>
      </c>
      <c r="W336" s="304">
        <f t="shared" ca="1" si="149"/>
        <v>1.8970075616712621</v>
      </c>
      <c r="Y336" s="314" t="str">
        <f t="shared" ca="1" si="167"/>
        <v/>
      </c>
      <c r="Z336" s="315" t="str">
        <f t="shared" ca="1" si="168"/>
        <v/>
      </c>
      <c r="AA336" s="316" t="str">
        <f t="shared" ca="1" si="169"/>
        <v/>
      </c>
      <c r="AC336" s="310" t="e">
        <f t="shared" ca="1" si="170"/>
        <v>#N/A</v>
      </c>
      <c r="AD336" s="323" t="e">
        <f t="shared" ca="1" si="171"/>
        <v>#N/A</v>
      </c>
      <c r="AE336" s="324">
        <f t="shared" ca="1" si="150"/>
        <v>1272.8122328752654</v>
      </c>
      <c r="AG336" s="306">
        <f t="shared" ca="1" si="172"/>
        <v>-1.7011862735895655</v>
      </c>
      <c r="AH336" s="304">
        <f t="shared" ca="1" si="173"/>
        <v>-0.22468875549913647</v>
      </c>
    </row>
    <row r="337" spans="1:34" x14ac:dyDescent="0.3">
      <c r="A337" s="347">
        <f t="shared" ca="1" si="151"/>
        <v>0.1</v>
      </c>
      <c r="B337" s="304">
        <f t="shared" ca="1" si="152"/>
        <v>15.299999999999963</v>
      </c>
      <c r="D337" s="306">
        <f t="shared" ca="1" si="153"/>
        <v>-0.22052230861854946</v>
      </c>
      <c r="E337" s="307">
        <f t="shared" ca="1" si="154"/>
        <v>-9.8344376266463609</v>
      </c>
      <c r="F337" s="304">
        <f t="shared" ca="1" si="155"/>
        <v>9.8369097546432833</v>
      </c>
      <c r="G337" s="306">
        <f t="shared" ca="1" si="156"/>
        <v>23.658341011328577</v>
      </c>
      <c r="H337" s="307">
        <f t="shared" ca="1" si="157"/>
        <v>1.6407470165669746</v>
      </c>
      <c r="I337" s="304">
        <f t="shared" ca="1" si="158"/>
        <v>23.715167091561575</v>
      </c>
      <c r="J337" s="306">
        <f t="shared" ca="1" si="159"/>
        <v>417.76924126132712</v>
      </c>
      <c r="K337" s="307">
        <f t="shared" ca="1" si="160"/>
        <v>1273.0254797650553</v>
      </c>
      <c r="L337" s="304">
        <f t="shared" ca="1" si="145"/>
        <v>1339.8227536040408</v>
      </c>
      <c r="M337" s="306">
        <f t="shared" ca="1" si="161"/>
        <v>6.9240869451381679E-2</v>
      </c>
      <c r="N337" s="304">
        <f t="shared" ca="1" si="162"/>
        <v>3.9672095893804822</v>
      </c>
      <c r="P337" s="310">
        <f t="shared" ca="1" si="163"/>
        <v>23</v>
      </c>
      <c r="Q337" s="304">
        <f t="shared" ca="1" si="164"/>
        <v>0</v>
      </c>
      <c r="R337" s="306">
        <f t="shared" ca="1" si="165"/>
        <v>0</v>
      </c>
      <c r="S337" s="307">
        <f t="shared" ca="1" si="166"/>
        <v>8.5499999999999989</v>
      </c>
      <c r="T337" s="304">
        <f t="shared" ca="1" si="146"/>
        <v>83.875499999999988</v>
      </c>
      <c r="U337" s="311">
        <f t="shared" ca="1" si="147"/>
        <v>0</v>
      </c>
      <c r="V337" s="306">
        <f t="shared" ca="1" si="148"/>
        <v>1.0783865139027309</v>
      </c>
      <c r="W337" s="304">
        <f t="shared" ca="1" si="149"/>
        <v>1.8794617303365937</v>
      </c>
      <c r="Y337" s="314" t="str">
        <f t="shared" ca="1" si="167"/>
        <v/>
      </c>
      <c r="Z337" s="315" t="str">
        <f t="shared" ca="1" si="168"/>
        <v/>
      </c>
      <c r="AA337" s="316" t="str">
        <f t="shared" ca="1" si="169"/>
        <v/>
      </c>
      <c r="AC337" s="310" t="e">
        <f t="shared" ca="1" si="170"/>
        <v>#N/A</v>
      </c>
      <c r="AD337" s="323" t="e">
        <f t="shared" ca="1" si="171"/>
        <v>#N/A</v>
      </c>
      <c r="AE337" s="324">
        <f t="shared" ca="1" si="150"/>
        <v>1273.0254797650553</v>
      </c>
      <c r="AG337" s="306">
        <f t="shared" ca="1" si="172"/>
        <v>-1.3023730113989458</v>
      </c>
      <c r="AH337" s="304">
        <f t="shared" ca="1" si="173"/>
        <v>-0.22187222943523535</v>
      </c>
    </row>
    <row r="338" spans="1:34" x14ac:dyDescent="0.3">
      <c r="A338" s="347">
        <f t="shared" ca="1" si="151"/>
        <v>0.1</v>
      </c>
      <c r="B338" s="304">
        <f t="shared" ca="1" si="152"/>
        <v>15.399999999999963</v>
      </c>
      <c r="D338" s="306">
        <f t="shared" ca="1" si="153"/>
        <v>-0.21929335441385253</v>
      </c>
      <c r="E338" s="307">
        <f t="shared" ca="1" si="154"/>
        <v>-9.8252083747898986</v>
      </c>
      <c r="F338" s="304">
        <f t="shared" ca="1" si="155"/>
        <v>9.8276553248133212</v>
      </c>
      <c r="G338" s="306">
        <f t="shared" ca="1" si="156"/>
        <v>23.636411675887192</v>
      </c>
      <c r="H338" s="307">
        <f t="shared" ca="1" si="157"/>
        <v>0.65822617908798475</v>
      </c>
      <c r="I338" s="304">
        <f t="shared" ca="1" si="158"/>
        <v>23.645575032442181</v>
      </c>
      <c r="J338" s="306">
        <f t="shared" ca="1" si="159"/>
        <v>420.1339788956879</v>
      </c>
      <c r="K338" s="307">
        <f t="shared" ca="1" si="160"/>
        <v>1273.1404284248381</v>
      </c>
      <c r="L338" s="304">
        <f t="shared" ca="1" si="145"/>
        <v>1340.6711418959171</v>
      </c>
      <c r="M338" s="306">
        <f t="shared" ca="1" si="161"/>
        <v>2.7840778611178757E-2</v>
      </c>
      <c r="N338" s="304">
        <f t="shared" ca="1" si="162"/>
        <v>1.5951591127786364</v>
      </c>
      <c r="P338" s="310">
        <f t="shared" ca="1" si="163"/>
        <v>23</v>
      </c>
      <c r="Q338" s="304">
        <f t="shared" ca="1" si="164"/>
        <v>0</v>
      </c>
      <c r="R338" s="306">
        <f t="shared" ca="1" si="165"/>
        <v>0</v>
      </c>
      <c r="S338" s="307">
        <f t="shared" ca="1" si="166"/>
        <v>8.5499999999999989</v>
      </c>
      <c r="T338" s="304">
        <f t="shared" ca="1" si="146"/>
        <v>83.875499999999988</v>
      </c>
      <c r="U338" s="311">
        <f t="shared" ca="1" si="147"/>
        <v>0</v>
      </c>
      <c r="V338" s="306">
        <f t="shared" ca="1" si="148"/>
        <v>1.0783740676354003</v>
      </c>
      <c r="W338" s="304">
        <f t="shared" ca="1" si="149"/>
        <v>1.8684258048262317</v>
      </c>
      <c r="Y338" s="314" t="str">
        <f t="shared" ca="1" si="167"/>
        <v>Apogée</v>
      </c>
      <c r="Z338" s="315" t="str">
        <f t="shared" ca="1" si="168"/>
        <v/>
      </c>
      <c r="AA338" s="316" t="str">
        <f t="shared" ca="1" si="169"/>
        <v/>
      </c>
      <c r="AC338" s="310" t="e">
        <f t="shared" ca="1" si="170"/>
        <v>#N/A</v>
      </c>
      <c r="AD338" s="323" t="e">
        <f t="shared" ca="1" si="171"/>
        <v>#N/A</v>
      </c>
      <c r="AE338" s="324">
        <f t="shared" ca="1" si="150"/>
        <v>1273.1404284248381</v>
      </c>
      <c r="AG338" s="306">
        <f t="shared" ca="1" si="172"/>
        <v>-0.89853038800256302</v>
      </c>
      <c r="AH338" s="304">
        <f t="shared" ca="1" si="173"/>
        <v>-0.21982008541948467</v>
      </c>
    </row>
    <row r="339" spans="1:34" x14ac:dyDescent="0.3">
      <c r="A339" s="347">
        <f t="shared" ca="1" si="151"/>
        <v>0.1</v>
      </c>
      <c r="B339" s="304">
        <f t="shared" ca="1" si="152"/>
        <v>15.499999999999963</v>
      </c>
      <c r="D339" s="306">
        <f t="shared" ca="1" si="153"/>
        <v>-0.218444647346453</v>
      </c>
      <c r="E339" s="307">
        <f t="shared" ca="1" si="154"/>
        <v>-9.816083240871615</v>
      </c>
      <c r="F339" s="304">
        <f t="shared" ca="1" si="155"/>
        <v>9.8185135461369573</v>
      </c>
      <c r="G339" s="306">
        <f t="shared" ca="1" si="156"/>
        <v>23.614567211152547</v>
      </c>
      <c r="H339" s="307">
        <f t="shared" ca="1" si="157"/>
        <v>-0.32338214499917683</v>
      </c>
      <c r="I339" s="304">
        <f t="shared" ca="1" si="158"/>
        <v>23.61678133407991</v>
      </c>
      <c r="J339" s="306">
        <f t="shared" ca="1" si="159"/>
        <v>422.4965278400399</v>
      </c>
      <c r="K339" s="307">
        <f t="shared" ca="1" si="160"/>
        <v>1273.1571706265424</v>
      </c>
      <c r="L339" s="304">
        <f t="shared" ca="1" si="145"/>
        <v>1341.4292740039157</v>
      </c>
      <c r="M339" s="306">
        <f t="shared" ca="1" si="161"/>
        <v>-1.3693324535730807E-2</v>
      </c>
      <c r="N339" s="304">
        <f t="shared" ca="1" si="162"/>
        <v>-0.78456970340031262</v>
      </c>
      <c r="P339" s="310">
        <f t="shared" ca="1" si="163"/>
        <v>23</v>
      </c>
      <c r="Q339" s="304">
        <f t="shared" ca="1" si="164"/>
        <v>0</v>
      </c>
      <c r="R339" s="306">
        <f t="shared" ca="1" si="165"/>
        <v>0</v>
      </c>
      <c r="S339" s="307">
        <f t="shared" ca="1" si="166"/>
        <v>8.5499999999999989</v>
      </c>
      <c r="T339" s="304">
        <f t="shared" ca="1" si="146"/>
        <v>83.875499999999988</v>
      </c>
      <c r="U339" s="311">
        <f t="shared" ca="1" si="147"/>
        <v>0</v>
      </c>
      <c r="V339" s="306">
        <f t="shared" ca="1" si="148"/>
        <v>1.0783722548554291</v>
      </c>
      <c r="W339" s="304">
        <f t="shared" ca="1" si="149"/>
        <v>1.8638750018493462</v>
      </c>
      <c r="Y339" s="314" t="str">
        <f t="shared" ca="1" si="167"/>
        <v/>
      </c>
      <c r="Z339" s="315" t="str">
        <f t="shared" ca="1" si="168"/>
        <v/>
      </c>
      <c r="AA339" s="316" t="str">
        <f t="shared" ca="1" si="169"/>
        <v/>
      </c>
      <c r="AC339" s="310" t="e">
        <f t="shared" ca="1" si="170"/>
        <v>#N/A</v>
      </c>
      <c r="AD339" s="323" t="e">
        <f t="shared" ca="1" si="171"/>
        <v>#N/A</v>
      </c>
      <c r="AE339" s="324">
        <f t="shared" ca="1" si="150"/>
        <v>1273.1571706265424</v>
      </c>
      <c r="AG339" s="306">
        <f t="shared" ca="1" si="172"/>
        <v>-0.49161209073470691</v>
      </c>
      <c r="AH339" s="304">
        <f t="shared" ca="1" si="173"/>
        <v>-0.21852933389780491</v>
      </c>
    </row>
    <row r="340" spans="1:34" x14ac:dyDescent="0.3">
      <c r="A340" s="347">
        <f t="shared" ca="1" si="151"/>
        <v>0.1</v>
      </c>
      <c r="B340" s="304">
        <f t="shared" ca="1" si="152"/>
        <v>15.599999999999962</v>
      </c>
      <c r="D340" s="306">
        <f t="shared" ca="1" si="153"/>
        <v>-0.21797663855524094</v>
      </c>
      <c r="E340" s="307">
        <f t="shared" ca="1" si="154"/>
        <v>-9.8070149885744087</v>
      </c>
      <c r="F340" s="304">
        <f t="shared" ca="1" si="155"/>
        <v>9.8094371296766543</v>
      </c>
      <c r="G340" s="306">
        <f t="shared" ca="1" si="156"/>
        <v>23.592769547297024</v>
      </c>
      <c r="H340" s="307">
        <f t="shared" ca="1" si="157"/>
        <v>-1.3040836438566177</v>
      </c>
      <c r="I340" s="304">
        <f t="shared" ca="1" si="158"/>
        <v>23.628783486714674</v>
      </c>
      <c r="J340" s="306">
        <f t="shared" ca="1" si="159"/>
        <v>424.85689467796237</v>
      </c>
      <c r="K340" s="307">
        <f t="shared" ca="1" si="160"/>
        <v>1273.0757973370996</v>
      </c>
      <c r="L340" s="304">
        <f t="shared" ca="1" si="145"/>
        <v>1342.0973760204188</v>
      </c>
      <c r="M340" s="306">
        <f t="shared" ca="1" si="161"/>
        <v>-5.5218525780252707E-2</v>
      </c>
      <c r="N340" s="304">
        <f t="shared" ca="1" si="162"/>
        <v>-3.1637884781428109</v>
      </c>
      <c r="P340" s="310">
        <f t="shared" ca="1" si="163"/>
        <v>23</v>
      </c>
      <c r="Q340" s="304">
        <f t="shared" ca="1" si="164"/>
        <v>0</v>
      </c>
      <c r="R340" s="306">
        <f t="shared" ca="1" si="165"/>
        <v>0</v>
      </c>
      <c r="S340" s="307">
        <f t="shared" ca="1" si="166"/>
        <v>8.5499999999999989</v>
      </c>
      <c r="T340" s="304">
        <f t="shared" ca="1" si="146"/>
        <v>83.875499999999988</v>
      </c>
      <c r="U340" s="311">
        <f t="shared" ca="1" si="147"/>
        <v>0</v>
      </c>
      <c r="V340" s="306">
        <f t="shared" ca="1" si="148"/>
        <v>1.0783810656629953</v>
      </c>
      <c r="W340" s="304">
        <f t="shared" ca="1" si="149"/>
        <v>1.865785186476415</v>
      </c>
      <c r="Y340" s="314" t="str">
        <f t="shared" ca="1" si="167"/>
        <v/>
      </c>
      <c r="Z340" s="315" t="str">
        <f t="shared" ca="1" si="168"/>
        <v/>
      </c>
      <c r="AA340" s="316" t="str">
        <f t="shared" ca="1" si="169"/>
        <v/>
      </c>
      <c r="AC340" s="310" t="e">
        <f t="shared" ca="1" si="170"/>
        <v>#N/A</v>
      </c>
      <c r="AD340" s="323" t="e">
        <f t="shared" ca="1" si="171"/>
        <v>#N/A</v>
      </c>
      <c r="AE340" s="324">
        <f t="shared" ca="1" si="150"/>
        <v>1273.0757973370996</v>
      </c>
      <c r="AG340" s="306">
        <f t="shared" ca="1" si="172"/>
        <v>-8.3669760524399422E-2</v>
      </c>
      <c r="AH340" s="304">
        <f t="shared" ca="1" si="173"/>
        <v>-0.21799707623968964</v>
      </c>
    </row>
    <row r="341" spans="1:34" x14ac:dyDescent="0.3">
      <c r="A341" s="347">
        <f t="shared" ca="1" si="151"/>
        <v>0.1</v>
      </c>
      <c r="B341" s="304">
        <f t="shared" ca="1" si="152"/>
        <v>15.699999999999962</v>
      </c>
      <c r="D341" s="306">
        <f t="shared" ca="1" si="153"/>
        <v>-0.21788788769509451</v>
      </c>
      <c r="E341" s="307">
        <f t="shared" ca="1" si="154"/>
        <v>-9.7979563088187671</v>
      </c>
      <c r="F341" s="304">
        <f t="shared" ca="1" si="155"/>
        <v>9.8003787151888009</v>
      </c>
      <c r="G341" s="306">
        <f t="shared" ca="1" si="156"/>
        <v>23.570980758527515</v>
      </c>
      <c r="H341" s="307">
        <f t="shared" ca="1" si="157"/>
        <v>-2.2838792747384944</v>
      </c>
      <c r="I341" s="304">
        <f t="shared" ca="1" si="158"/>
        <v>23.681369015756975</v>
      </c>
      <c r="J341" s="306">
        <f t="shared" ca="1" si="159"/>
        <v>427.21508219325358</v>
      </c>
      <c r="K341" s="307">
        <f t="shared" ca="1" si="160"/>
        <v>1272.8963991911698</v>
      </c>
      <c r="L341" s="304">
        <f t="shared" ca="1" si="145"/>
        <v>1342.675675480581</v>
      </c>
      <c r="M341" s="306">
        <f t="shared" ca="1" si="161"/>
        <v>-9.659216037577871E-2</v>
      </c>
      <c r="N341" s="304">
        <f t="shared" ca="1" si="162"/>
        <v>-5.5343231235829036</v>
      </c>
      <c r="P341" s="310">
        <f t="shared" ca="1" si="163"/>
        <v>23</v>
      </c>
      <c r="Q341" s="304">
        <f t="shared" ca="1" si="164"/>
        <v>0</v>
      </c>
      <c r="R341" s="306">
        <f t="shared" ca="1" si="165"/>
        <v>0</v>
      </c>
      <c r="S341" s="307">
        <f t="shared" ca="1" si="166"/>
        <v>8.5499999999999989</v>
      </c>
      <c r="T341" s="304">
        <f t="shared" ca="1" si="146"/>
        <v>83.875499999999988</v>
      </c>
      <c r="U341" s="311">
        <f t="shared" ca="1" si="147"/>
        <v>0</v>
      </c>
      <c r="V341" s="306">
        <f t="shared" ca="1" si="148"/>
        <v>1.0784004904881246</v>
      </c>
      <c r="W341" s="304">
        <f t="shared" ca="1" si="149"/>
        <v>1.8741327433382113</v>
      </c>
      <c r="Y341" s="314" t="str">
        <f t="shared" ca="1" si="167"/>
        <v/>
      </c>
      <c r="Z341" s="315" t="str">
        <f t="shared" ca="1" si="168"/>
        <v/>
      </c>
      <c r="AA341" s="316" t="str">
        <f t="shared" ca="1" si="169"/>
        <v/>
      </c>
      <c r="AC341" s="310" t="e">
        <f t="shared" ca="1" si="170"/>
        <v>#N/A</v>
      </c>
      <c r="AD341" s="323" t="e">
        <f t="shared" ca="1" si="171"/>
        <v>#N/A</v>
      </c>
      <c r="AE341" s="324">
        <f t="shared" ca="1" si="150"/>
        <v>1272.8963991911698</v>
      </c>
      <c r="AG341" s="306">
        <f t="shared" ca="1" si="172"/>
        <v>0.32319801179389557</v>
      </c>
      <c r="AH341" s="304">
        <f t="shared" ca="1" si="173"/>
        <v>-0.21822048964636437</v>
      </c>
    </row>
    <row r="342" spans="1:34" x14ac:dyDescent="0.3">
      <c r="A342" s="347">
        <f t="shared" ca="1" si="151"/>
        <v>0.1</v>
      </c>
      <c r="B342" s="304">
        <f t="shared" ca="1" si="152"/>
        <v>15.799999999999962</v>
      </c>
      <c r="D342" s="306">
        <f t="shared" ca="1" si="153"/>
        <v>-0.2181750487727262</v>
      </c>
      <c r="E342" s="307">
        <f t="shared" ca="1" si="154"/>
        <v>-9.7888602147164878</v>
      </c>
      <c r="F342" s="304">
        <f t="shared" ca="1" si="155"/>
        <v>9.7912912659754081</v>
      </c>
      <c r="G342" s="306">
        <f t="shared" ca="1" si="156"/>
        <v>23.549163253650242</v>
      </c>
      <c r="H342" s="307">
        <f t="shared" ca="1" si="157"/>
        <v>-3.2627652962101434</v>
      </c>
      <c r="I342" s="304">
        <f t="shared" ca="1" si="158"/>
        <v>23.774118854864508</v>
      </c>
      <c r="J342" s="306">
        <f t="shared" ca="1" si="159"/>
        <v>429.57108939386245</v>
      </c>
      <c r="K342" s="307">
        <f t="shared" ca="1" si="160"/>
        <v>1272.6190669626224</v>
      </c>
      <c r="L342" s="304">
        <f t="shared" ca="1" si="145"/>
        <v>1343.164401865924</v>
      </c>
      <c r="M342" s="306">
        <f t="shared" ca="1" si="161"/>
        <v>-0.13767472983376583</v>
      </c>
      <c r="N342" s="304">
        <f t="shared" ca="1" si="162"/>
        <v>-7.8881809650786243</v>
      </c>
      <c r="P342" s="310">
        <f t="shared" ca="1" si="163"/>
        <v>23</v>
      </c>
      <c r="Q342" s="304">
        <f t="shared" ca="1" si="164"/>
        <v>0</v>
      </c>
      <c r="R342" s="306">
        <f t="shared" ca="1" si="165"/>
        <v>0</v>
      </c>
      <c r="S342" s="307">
        <f t="shared" ca="1" si="166"/>
        <v>8.5499999999999989</v>
      </c>
      <c r="T342" s="304">
        <f t="shared" ca="1" si="146"/>
        <v>83.875499999999988</v>
      </c>
      <c r="U342" s="311">
        <f t="shared" ca="1" si="147"/>
        <v>0</v>
      </c>
      <c r="V342" s="306">
        <f t="shared" ca="1" si="148"/>
        <v>1.0784305200387527</v>
      </c>
      <c r="W342" s="304">
        <f t="shared" ca="1" si="149"/>
        <v>1.8888944490385551</v>
      </c>
      <c r="Y342" s="314" t="str">
        <f t="shared" ca="1" si="167"/>
        <v/>
      </c>
      <c r="Z342" s="315" t="str">
        <f t="shared" ca="1" si="168"/>
        <v/>
      </c>
      <c r="AA342" s="316" t="str">
        <f t="shared" ca="1" si="169"/>
        <v/>
      </c>
      <c r="AC342" s="310" t="e">
        <f t="shared" ca="1" si="170"/>
        <v>#N/A</v>
      </c>
      <c r="AD342" s="323" t="e">
        <f t="shared" ca="1" si="171"/>
        <v>#N/A</v>
      </c>
      <c r="AE342" s="324">
        <f t="shared" ca="1" si="150"/>
        <v>1272.6190669626224</v>
      </c>
      <c r="AG342" s="306">
        <f t="shared" ca="1" si="172"/>
        <v>0.72689949131052034</v>
      </c>
      <c r="AH342" s="304">
        <f t="shared" ca="1" si="173"/>
        <v>-0.21919681208634054</v>
      </c>
    </row>
    <row r="343" spans="1:34" x14ac:dyDescent="0.3">
      <c r="A343" s="347">
        <f t="shared" ca="1" si="151"/>
        <v>0.1</v>
      </c>
      <c r="B343" s="304">
        <f t="shared" ca="1" si="152"/>
        <v>15.899999999999961</v>
      </c>
      <c r="D343" s="306">
        <f t="shared" ca="1" si="153"/>
        <v>-0.21883290542144496</v>
      </c>
      <c r="E343" s="307">
        <f t="shared" ca="1" si="154"/>
        <v>-9.7796804340015253</v>
      </c>
      <c r="F343" s="304">
        <f t="shared" ca="1" si="155"/>
        <v>9.782128461213718</v>
      </c>
      <c r="G343" s="306">
        <f t="shared" ca="1" si="156"/>
        <v>23.527279963108096</v>
      </c>
      <c r="H343" s="307">
        <f t="shared" ca="1" si="157"/>
        <v>-4.240733339610296</v>
      </c>
      <c r="I343" s="304">
        <f t="shared" ca="1" si="158"/>
        <v>23.906415911218268</v>
      </c>
      <c r="J343" s="306">
        <f t="shared" ca="1" si="159"/>
        <v>431.92491155470037</v>
      </c>
      <c r="K343" s="307">
        <f t="shared" ca="1" si="160"/>
        <v>1272.2438920308314</v>
      </c>
      <c r="L343" s="304">
        <f t="shared" ca="1" si="145"/>
        <v>1343.563787109229</v>
      </c>
      <c r="M343" s="306">
        <f t="shared" ca="1" si="161"/>
        <v>-0.17833265825751354</v>
      </c>
      <c r="N343" s="304">
        <f t="shared" ca="1" si="162"/>
        <v>-10.217708667504356</v>
      </c>
      <c r="P343" s="310">
        <f t="shared" ca="1" si="163"/>
        <v>23</v>
      </c>
      <c r="Q343" s="304">
        <f t="shared" ca="1" si="164"/>
        <v>0</v>
      </c>
      <c r="R343" s="306">
        <f t="shared" ca="1" si="165"/>
        <v>0</v>
      </c>
      <c r="S343" s="307">
        <f t="shared" ca="1" si="166"/>
        <v>8.5499999999999989</v>
      </c>
      <c r="T343" s="304">
        <f t="shared" ca="1" si="146"/>
        <v>83.875499999999988</v>
      </c>
      <c r="U343" s="311">
        <f t="shared" ca="1" si="147"/>
        <v>0</v>
      </c>
      <c r="V343" s="306">
        <f t="shared" ca="1" si="148"/>
        <v>1.0784711452493621</v>
      </c>
      <c r="W343" s="304">
        <f t="shared" ca="1" si="149"/>
        <v>1.91004734676878</v>
      </c>
      <c r="Y343" s="314" t="str">
        <f t="shared" ca="1" si="167"/>
        <v/>
      </c>
      <c r="Z343" s="315" t="str">
        <f t="shared" ca="1" si="168"/>
        <v/>
      </c>
      <c r="AA343" s="316" t="str">
        <f t="shared" ca="1" si="169"/>
        <v/>
      </c>
      <c r="AC343" s="310" t="e">
        <f t="shared" ca="1" si="170"/>
        <v>#N/A</v>
      </c>
      <c r="AD343" s="323" t="e">
        <f t="shared" ca="1" si="171"/>
        <v>#N/A</v>
      </c>
      <c r="AE343" s="324">
        <f t="shared" ca="1" si="150"/>
        <v>1272.2438920308314</v>
      </c>
      <c r="AG343" s="306">
        <f t="shared" ca="1" si="172"/>
        <v>1.125403228459539</v>
      </c>
      <c r="AH343" s="304">
        <f t="shared" ca="1" si="173"/>
        <v>-0.22092332737293044</v>
      </c>
    </row>
    <row r="344" spans="1:34" x14ac:dyDescent="0.3">
      <c r="A344" s="347">
        <f t="shared" ca="1" si="151"/>
        <v>0.1</v>
      </c>
      <c r="B344" s="304">
        <f t="shared" ca="1" si="152"/>
        <v>15.999999999999961</v>
      </c>
      <c r="D344" s="306">
        <f t="shared" ca="1" si="153"/>
        <v>-0.21985445362165662</v>
      </c>
      <c r="E344" s="307">
        <f t="shared" ca="1" si="154"/>
        <v>-9.7703717848898339</v>
      </c>
      <c r="F344" s="304">
        <f t="shared" ca="1" si="155"/>
        <v>9.7728450717152295</v>
      </c>
      <c r="G344" s="306">
        <f t="shared" ca="1" si="156"/>
        <v>23.505294517745931</v>
      </c>
      <c r="H344" s="307">
        <f t="shared" ca="1" si="157"/>
        <v>-5.2177705180992797</v>
      </c>
      <c r="I344" s="304">
        <f t="shared" ca="1" si="158"/>
        <v>24.077458328185784</v>
      </c>
      <c r="J344" s="306">
        <f t="shared" ca="1" si="159"/>
        <v>434.27654027874308</v>
      </c>
      <c r="K344" s="307">
        <f t="shared" ca="1" si="160"/>
        <v>1271.7709668379459</v>
      </c>
      <c r="L344" s="304">
        <f t="shared" ca="1" si="145"/>
        <v>1343.8740660971171</v>
      </c>
      <c r="M344" s="306">
        <f t="shared" ca="1" si="161"/>
        <v>-0.21844075575138291</v>
      </c>
      <c r="N344" s="304">
        <f t="shared" ca="1" si="162"/>
        <v>-12.515733378202304</v>
      </c>
      <c r="P344" s="310">
        <f t="shared" ca="1" si="163"/>
        <v>23</v>
      </c>
      <c r="Q344" s="304">
        <f t="shared" ca="1" si="164"/>
        <v>0</v>
      </c>
      <c r="R344" s="306">
        <f t="shared" ca="1" si="165"/>
        <v>0</v>
      </c>
      <c r="S344" s="307">
        <f t="shared" ca="1" si="166"/>
        <v>8.5499999999999989</v>
      </c>
      <c r="T344" s="304">
        <f t="shared" ca="1" si="146"/>
        <v>83.875499999999988</v>
      </c>
      <c r="U344" s="311">
        <f t="shared" ca="1" si="147"/>
        <v>0</v>
      </c>
      <c r="V344" s="306">
        <f t="shared" ca="1" si="148"/>
        <v>1.0785223572306006</v>
      </c>
      <c r="W344" s="304">
        <f t="shared" ca="1" si="149"/>
        <v>1.9375686240834176</v>
      </c>
      <c r="Y344" s="314" t="str">
        <f t="shared" ca="1" si="167"/>
        <v/>
      </c>
      <c r="Z344" s="315" t="str">
        <f t="shared" ca="1" si="168"/>
        <v>Para</v>
      </c>
      <c r="AA344" s="316" t="str">
        <f t="shared" ca="1" si="169"/>
        <v/>
      </c>
      <c r="AC344" s="310">
        <f t="shared" ca="1" si="170"/>
        <v>15.999999999999961</v>
      </c>
      <c r="AD344" s="323">
        <f t="shared" ca="1" si="171"/>
        <v>434.27654027874308</v>
      </c>
      <c r="AE344" s="324" t="e">
        <f t="shared" ca="1" si="150"/>
        <v>#N/A</v>
      </c>
      <c r="AG344" s="306">
        <f t="shared" ca="1" si="172"/>
        <v>1.5167879711346215</v>
      </c>
      <c r="AH344" s="304">
        <f t="shared" ca="1" si="173"/>
        <v>-0.22339735049927253</v>
      </c>
    </row>
    <row r="345" spans="1:34" x14ac:dyDescent="0.3">
      <c r="A345" s="347">
        <f t="shared" ca="1" si="151"/>
        <v>0.1</v>
      </c>
      <c r="B345" s="304">
        <f t="shared" ca="1" si="152"/>
        <v>16.099999999999962</v>
      </c>
      <c r="D345" s="306">
        <f t="shared" ca="1" si="153"/>
        <v>-0.22123102715082268</v>
      </c>
      <c r="E345" s="307">
        <f t="shared" ca="1" si="154"/>
        <v>-9.7608905225465321</v>
      </c>
      <c r="F345" s="304">
        <f t="shared" ca="1" si="155"/>
        <v>9.7633973062921555</v>
      </c>
      <c r="G345" s="306">
        <f t="shared" ca="1" si="156"/>
        <v>23.483171415030849</v>
      </c>
      <c r="H345" s="307">
        <f t="shared" ca="1" si="157"/>
        <v>-6.1938595703539328</v>
      </c>
      <c r="I345" s="304">
        <f t="shared" ca="1" si="158"/>
        <v>24.286276702800432</v>
      </c>
      <c r="J345" s="306">
        <f t="shared" ca="1" si="159"/>
        <v>436.62596357538195</v>
      </c>
      <c r="K345" s="307">
        <f t="shared" ca="1" si="160"/>
        <v>1271.2003853335232</v>
      </c>
      <c r="L345" s="304">
        <f t="shared" ca="1" si="145"/>
        <v>1344.0954771667928</v>
      </c>
      <c r="M345" s="306">
        <f t="shared" ca="1" si="161"/>
        <v>-0.25788428289135201</v>
      </c>
      <c r="N345" s="304">
        <f t="shared" ca="1" si="162"/>
        <v>-14.775681012432253</v>
      </c>
      <c r="P345" s="310">
        <f t="shared" ca="1" si="163"/>
        <v>23</v>
      </c>
      <c r="Q345" s="304">
        <f t="shared" ca="1" si="164"/>
        <v>0</v>
      </c>
      <c r="R345" s="306">
        <f t="shared" ca="1" si="165"/>
        <v>0</v>
      </c>
      <c r="S345" s="307">
        <f t="shared" ca="1" si="166"/>
        <v>8.5499999999999989</v>
      </c>
      <c r="T345" s="304">
        <f t="shared" ca="1" si="146"/>
        <v>83.875499999999988</v>
      </c>
      <c r="U345" s="311">
        <f t="shared" ca="1" si="147"/>
        <v>0</v>
      </c>
      <c r="V345" s="306">
        <f t="shared" ca="1" si="148"/>
        <v>1.07858414722027</v>
      </c>
      <c r="W345" s="304">
        <f t="shared" ca="1" si="149"/>
        <v>1.9714354947335853</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1.8992862837088396</v>
      </c>
      <c r="AH345" s="304">
        <f t="shared" ca="1" si="173"/>
        <v>-0.22661621334308979</v>
      </c>
    </row>
    <row r="346" spans="1:34" x14ac:dyDescent="0.3">
      <c r="A346" s="347">
        <f t="shared" ca="1" si="151"/>
        <v>0.1</v>
      </c>
      <c r="B346" s="304">
        <f t="shared" ca="1" si="152"/>
        <v>16.199999999999964</v>
      </c>
      <c r="D346" s="306">
        <f t="shared" ca="1" si="153"/>
        <v>-0.22295245880154227</v>
      </c>
      <c r="E346" s="307">
        <f t="shared" ca="1" si="154"/>
        <v>-9.7511946454643699</v>
      </c>
      <c r="F346" s="304">
        <f t="shared" ca="1" si="155"/>
        <v>9.7537431180351799</v>
      </c>
      <c r="G346" s="306">
        <f t="shared" ca="1" si="156"/>
        <v>23.460876169150694</v>
      </c>
      <c r="H346" s="307">
        <f t="shared" ca="1" si="157"/>
        <v>-7.1689790349003699</v>
      </c>
      <c r="I346" s="304">
        <f t="shared" ca="1" si="158"/>
        <v>24.531754340590158</v>
      </c>
      <c r="J346" s="306">
        <f t="shared" ca="1" si="159"/>
        <v>438.97316595459102</v>
      </c>
      <c r="K346" s="307">
        <f t="shared" ca="1" si="160"/>
        <v>1270.5322434032605</v>
      </c>
      <c r="L346" s="304">
        <f t="shared" ca="1" si="145"/>
        <v>1344.2282625936411</v>
      </c>
      <c r="M346" s="306">
        <f t="shared" ca="1" si="161"/>
        <v>-0.29656054445457786</v>
      </c>
      <c r="N346" s="304">
        <f t="shared" ca="1" si="162"/>
        <v>-16.99166756734914</v>
      </c>
      <c r="P346" s="310">
        <f t="shared" ca="1" si="163"/>
        <v>23</v>
      </c>
      <c r="Q346" s="304">
        <f t="shared" ca="1" si="164"/>
        <v>0</v>
      </c>
      <c r="R346" s="306">
        <f t="shared" ca="1" si="165"/>
        <v>0</v>
      </c>
      <c r="S346" s="307">
        <f t="shared" ca="1" si="166"/>
        <v>8.5499999999999989</v>
      </c>
      <c r="T346" s="304">
        <f t="shared" ca="1" si="146"/>
        <v>83.875499999999988</v>
      </c>
      <c r="U346" s="311">
        <f t="shared" ca="1" si="147"/>
        <v>0</v>
      </c>
      <c r="V346" s="306">
        <f t="shared" ca="1" si="148"/>
        <v>1.0786565065360141</v>
      </c>
      <c r="W346" s="304">
        <f t="shared" ca="1" si="149"/>
        <v>2.0116250853615041</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2.2713197310888584</v>
      </c>
      <c r="AH346" s="304">
        <f t="shared" ca="1" si="173"/>
        <v>-0.23057725084603339</v>
      </c>
    </row>
    <row r="347" spans="1:34" x14ac:dyDescent="0.3">
      <c r="A347" s="347">
        <f t="shared" ca="1" si="151"/>
        <v>0.1</v>
      </c>
      <c r="B347" s="304">
        <f t="shared" ca="1" si="152"/>
        <v>16.299999999999965</v>
      </c>
      <c r="D347" s="306">
        <f t="shared" ca="1" si="153"/>
        <v>-0.22500726883984215</v>
      </c>
      <c r="E347" s="307">
        <f t="shared" ca="1" si="154"/>
        <v>-9.7412441538251642</v>
      </c>
      <c r="F347" s="304">
        <f t="shared" ca="1" si="155"/>
        <v>9.7438424625741824</v>
      </c>
      <c r="G347" s="306">
        <f t="shared" ca="1" si="156"/>
        <v>23.438375442266711</v>
      </c>
      <c r="H347" s="307">
        <f t="shared" ca="1" si="157"/>
        <v>-8.1431034502828865</v>
      </c>
      <c r="I347" s="304">
        <f t="shared" ca="1" si="158"/>
        <v>24.812649539592911</v>
      </c>
      <c r="J347" s="306">
        <f t="shared" ca="1" si="159"/>
        <v>441.31812853516192</v>
      </c>
      <c r="K347" s="307">
        <f t="shared" ca="1" si="160"/>
        <v>1269.7666392790013</v>
      </c>
      <c r="L347" s="304">
        <f t="shared" ca="1" si="145"/>
        <v>1344.2726690666843</v>
      </c>
      <c r="M347" s="306">
        <f t="shared" ca="1" si="161"/>
        <v>-0.33437997804483777</v>
      </c>
      <c r="N347" s="304">
        <f t="shared" ca="1" si="162"/>
        <v>-19.158561495646332</v>
      </c>
      <c r="P347" s="310">
        <f t="shared" ca="1" si="163"/>
        <v>23</v>
      </c>
      <c r="Q347" s="304">
        <f t="shared" ca="1" si="164"/>
        <v>0</v>
      </c>
      <c r="R347" s="306">
        <f t="shared" ca="1" si="165"/>
        <v>0</v>
      </c>
      <c r="S347" s="307">
        <f t="shared" ca="1" si="166"/>
        <v>8.5499999999999989</v>
      </c>
      <c r="T347" s="304">
        <f t="shared" ca="1" si="146"/>
        <v>83.875499999999988</v>
      </c>
      <c r="U347" s="311">
        <f t="shared" ca="1" si="147"/>
        <v>0</v>
      </c>
      <c r="V347" s="306">
        <f t="shared" ca="1" si="148"/>
        <v>1.0787394265300221</v>
      </c>
      <c r="W347" s="304">
        <f t="shared" ca="1" si="149"/>
        <v>2.0581143277432745</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2.6315242907187466</v>
      </c>
      <c r="AH347" s="304">
        <f t="shared" ca="1" si="173"/>
        <v>-0.23527778776157945</v>
      </c>
    </row>
    <row r="348" spans="1:34" x14ac:dyDescent="0.3">
      <c r="A348" s="347">
        <f t="shared" ca="1" si="151"/>
        <v>0.1</v>
      </c>
      <c r="B348" s="304">
        <f t="shared" ca="1" si="152"/>
        <v>16.399999999999967</v>
      </c>
      <c r="D348" s="306">
        <f t="shared" ca="1" si="153"/>
        <v>-0.22738287138715071</v>
      </c>
      <c r="E348" s="307">
        <f t="shared" ca="1" si="154"/>
        <v>-9.7310012550106642</v>
      </c>
      <c r="F348" s="304">
        <f t="shared" ca="1" si="155"/>
        <v>9.7336575034885726</v>
      </c>
      <c r="G348" s="306">
        <f t="shared" ca="1" si="156"/>
        <v>23.415637155127996</v>
      </c>
      <c r="H348" s="307">
        <f t="shared" ca="1" si="157"/>
        <v>-9.1162035757839526</v>
      </c>
      <c r="I348" s="304">
        <f t="shared" ca="1" si="158"/>
        <v>25.127618888699875</v>
      </c>
      <c r="J348" s="306">
        <f t="shared" ca="1" si="159"/>
        <v>443.66082916503166</v>
      </c>
      <c r="K348" s="307">
        <f t="shared" ca="1" si="160"/>
        <v>1268.903673927698</v>
      </c>
      <c r="L348" s="304">
        <f t="shared" ca="1" si="145"/>
        <v>1344.2289481493149</v>
      </c>
      <c r="M348" s="306">
        <f t="shared" ca="1" si="161"/>
        <v>-0.3712667394344864</v>
      </c>
      <c r="N348" s="304">
        <f t="shared" ca="1" si="162"/>
        <v>-21.27201724317932</v>
      </c>
      <c r="P348" s="310">
        <f t="shared" ca="1" si="163"/>
        <v>23</v>
      </c>
      <c r="Q348" s="304">
        <f t="shared" ca="1" si="164"/>
        <v>0</v>
      </c>
      <c r="R348" s="306">
        <f t="shared" ca="1" si="165"/>
        <v>0</v>
      </c>
      <c r="S348" s="307">
        <f t="shared" ca="1" si="166"/>
        <v>8.5499999999999989</v>
      </c>
      <c r="T348" s="304">
        <f t="shared" ca="1" si="146"/>
        <v>83.875499999999988</v>
      </c>
      <c r="U348" s="311">
        <f t="shared" ca="1" si="147"/>
        <v>0</v>
      </c>
      <c r="V348" s="306">
        <f t="shared" ca="1" si="148"/>
        <v>1.0788328985459756</v>
      </c>
      <c r="W348" s="304">
        <f t="shared" ca="1" si="149"/>
        <v>2.1108798571350764</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2.9787655150544792</v>
      </c>
      <c r="AH348" s="304">
        <f t="shared" ca="1" si="173"/>
        <v>-0.240715126051845</v>
      </c>
    </row>
    <row r="349" spans="1:34" x14ac:dyDescent="0.3">
      <c r="A349" s="347">
        <f t="shared" ca="1" si="151"/>
        <v>0.1</v>
      </c>
      <c r="B349" s="304">
        <f t="shared" ca="1" si="152"/>
        <v>16.499999999999968</v>
      </c>
      <c r="D349" s="306">
        <f t="shared" ca="1" si="153"/>
        <v>-0.23006578939218295</v>
      </c>
      <c r="E349" s="307">
        <f t="shared" ca="1" si="154"/>
        <v>-9.7204305145306176</v>
      </c>
      <c r="F349" s="304">
        <f t="shared" ca="1" si="155"/>
        <v>9.7231527631353512</v>
      </c>
      <c r="G349" s="306">
        <f t="shared" ca="1" si="156"/>
        <v>23.392630576188779</v>
      </c>
      <c r="H349" s="307">
        <f t="shared" ca="1" si="157"/>
        <v>-10.088246627237014</v>
      </c>
      <c r="I349" s="304">
        <f t="shared" ca="1" si="158"/>
        <v>25.475240632543613</v>
      </c>
      <c r="J349" s="306">
        <f t="shared" ca="1" si="159"/>
        <v>446.0012425515975</v>
      </c>
      <c r="K349" s="307">
        <f t="shared" ca="1" si="160"/>
        <v>1267.9434514175471</v>
      </c>
      <c r="L349" s="304">
        <f t="shared" ca="1" si="145"/>
        <v>1344.0973567231692</v>
      </c>
      <c r="M349" s="306">
        <f t="shared" ca="1" si="161"/>
        <v>-0.40715881766783762</v>
      </c>
      <c r="N349" s="304">
        <f t="shared" ca="1" si="162"/>
        <v>-23.328481843903713</v>
      </c>
      <c r="P349" s="310">
        <f t="shared" ca="1" si="163"/>
        <v>23</v>
      </c>
      <c r="Q349" s="304">
        <f t="shared" ca="1" si="164"/>
        <v>0</v>
      </c>
      <c r="R349" s="306">
        <f t="shared" ca="1" si="165"/>
        <v>0</v>
      </c>
      <c r="S349" s="307">
        <f t="shared" ca="1" si="166"/>
        <v>8.5499999999999989</v>
      </c>
      <c r="T349" s="304">
        <f t="shared" ca="1" si="146"/>
        <v>83.875499999999988</v>
      </c>
      <c r="U349" s="311">
        <f t="shared" ca="1" si="147"/>
        <v>0</v>
      </c>
      <c r="V349" s="306">
        <f t="shared" ca="1" si="148"/>
        <v>1.0789369138784344</v>
      </c>
      <c r="W349" s="304">
        <f t="shared" ca="1" si="149"/>
        <v>2.1698979171386386</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3.3121437704523462</v>
      </c>
      <c r="AH349" s="304">
        <f t="shared" ca="1" si="173"/>
        <v>-0.24688653299825458</v>
      </c>
    </row>
    <row r="350" spans="1:34" x14ac:dyDescent="0.3">
      <c r="A350" s="347">
        <f t="shared" ca="1" si="151"/>
        <v>0.1</v>
      </c>
      <c r="B350" s="304">
        <f t="shared" ca="1" si="152"/>
        <v>16.599999999999969</v>
      </c>
      <c r="D350" s="306">
        <f t="shared" ca="1" si="153"/>
        <v>-0.23304186951501002</v>
      </c>
      <c r="E350" s="307">
        <f t="shared" ca="1" si="154"/>
        <v>-9.7094989534638803</v>
      </c>
      <c r="F350" s="304">
        <f t="shared" ca="1" si="155"/>
        <v>9.7122952199911659</v>
      </c>
      <c r="G350" s="306">
        <f t="shared" ca="1" si="156"/>
        <v>23.369326389237276</v>
      </c>
      <c r="H350" s="307">
        <f t="shared" ca="1" si="157"/>
        <v>-11.059196522583402</v>
      </c>
      <c r="I350" s="304">
        <f t="shared" ca="1" si="158"/>
        <v>25.854037278766011</v>
      </c>
      <c r="J350" s="306">
        <f t="shared" ca="1" si="159"/>
        <v>448.33934039986877</v>
      </c>
      <c r="K350" s="307">
        <f t="shared" ca="1" si="160"/>
        <v>1266.886079260056</v>
      </c>
      <c r="L350" s="304">
        <f t="shared" ca="1" si="145"/>
        <v>1343.878157413501</v>
      </c>
      <c r="M350" s="306">
        <f t="shared" ca="1" si="161"/>
        <v>-0.44200773677291683</v>
      </c>
      <c r="N350" s="304">
        <f t="shared" ca="1" si="162"/>
        <v>-25.325177829217573</v>
      </c>
      <c r="P350" s="310">
        <f t="shared" ca="1" si="163"/>
        <v>23</v>
      </c>
      <c r="Q350" s="304">
        <f t="shared" ca="1" si="164"/>
        <v>0</v>
      </c>
      <c r="R350" s="306">
        <f t="shared" ca="1" si="165"/>
        <v>0</v>
      </c>
      <c r="S350" s="307">
        <f t="shared" ca="1" si="166"/>
        <v>8.5499999999999989</v>
      </c>
      <c r="T350" s="304">
        <f t="shared" ca="1" si="146"/>
        <v>83.875499999999988</v>
      </c>
      <c r="U350" s="311">
        <f t="shared" ca="1" si="147"/>
        <v>0</v>
      </c>
      <c r="V350" s="306">
        <f t="shared" ca="1" si="148"/>
        <v>1.0790514637347823</v>
      </c>
      <c r="W350" s="304">
        <f t="shared" ca="1" si="149"/>
        <v>2.2351442713625937</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3.6309905386694852</v>
      </c>
      <c r="AH350" s="304">
        <f t="shared" ca="1" si="173"/>
        <v>-0.25378923007469462</v>
      </c>
    </row>
    <row r="351" spans="1:34" x14ac:dyDescent="0.3">
      <c r="A351" s="347">
        <f t="shared" ca="1" si="151"/>
        <v>0.1</v>
      </c>
      <c r="B351" s="304">
        <f t="shared" ca="1" si="152"/>
        <v>16.699999999999971</v>
      </c>
      <c r="D351" s="306">
        <f t="shared" ca="1" si="153"/>
        <v>-0.23629648941361342</v>
      </c>
      <c r="E351" s="307">
        <f t="shared" ca="1" si="154"/>
        <v>-9.6981760958576366</v>
      </c>
      <c r="F351" s="304">
        <f t="shared" ca="1" si="155"/>
        <v>9.7010543559539784</v>
      </c>
      <c r="G351" s="306">
        <f t="shared" ca="1" si="156"/>
        <v>23.345696740295914</v>
      </c>
      <c r="H351" s="307">
        <f t="shared" ca="1" si="157"/>
        <v>-12.029014132169166</v>
      </c>
      <c r="I351" s="304">
        <f t="shared" ca="1" si="158"/>
        <v>26.262496783089546</v>
      </c>
      <c r="J351" s="306">
        <f t="shared" ca="1" si="159"/>
        <v>450.67509155634542</v>
      </c>
      <c r="K351" s="307">
        <f t="shared" ca="1" si="160"/>
        <v>1265.7316687273185</v>
      </c>
      <c r="L351" s="304">
        <f t="shared" ca="1" si="145"/>
        <v>1343.5716189948948</v>
      </c>
      <c r="M351" s="306">
        <f t="shared" ca="1" si="161"/>
        <v>-0.47577791623362481</v>
      </c>
      <c r="N351" s="304">
        <f t="shared" ca="1" si="162"/>
        <v>-27.260066585715517</v>
      </c>
      <c r="P351" s="310">
        <f t="shared" ca="1" si="163"/>
        <v>23</v>
      </c>
      <c r="Q351" s="304">
        <f t="shared" ca="1" si="164"/>
        <v>0</v>
      </c>
      <c r="R351" s="306">
        <f t="shared" ca="1" si="165"/>
        <v>0</v>
      </c>
      <c r="S351" s="307">
        <f t="shared" ca="1" si="166"/>
        <v>8.5499999999999989</v>
      </c>
      <c r="T351" s="304">
        <f t="shared" ca="1" si="146"/>
        <v>83.875499999999988</v>
      </c>
      <c r="U351" s="311">
        <f t="shared" ca="1" si="147"/>
        <v>0</v>
      </c>
      <c r="V351" s="306">
        <f t="shared" ca="1" si="148"/>
        <v>1.079176539199814</v>
      </c>
      <c r="W351" s="304">
        <f t="shared" ca="1" si="149"/>
        <v>2.3065941220240052</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3.9348572322406787</v>
      </c>
      <c r="AH351" s="304">
        <f t="shared" ca="1" si="173"/>
        <v>-0.2614203826155081</v>
      </c>
    </row>
    <row r="352" spans="1:34" x14ac:dyDescent="0.3">
      <c r="A352" s="347">
        <f t="shared" ca="1" si="151"/>
        <v>0.1</v>
      </c>
      <c r="B352" s="304">
        <f t="shared" ca="1" si="152"/>
        <v>16.799999999999972</v>
      </c>
      <c r="D352" s="306">
        <f t="shared" ca="1" si="153"/>
        <v>-0.23981475141261765</v>
      </c>
      <c r="E352" s="307">
        <f t="shared" ca="1" si="154"/>
        <v>-9.686433971282348</v>
      </c>
      <c r="F352" s="304">
        <f t="shared" ca="1" si="155"/>
        <v>9.6894021588025652</v>
      </c>
      <c r="G352" s="306">
        <f t="shared" ca="1" si="156"/>
        <v>23.321715265154651</v>
      </c>
      <c r="H352" s="307">
        <f t="shared" ca="1" si="157"/>
        <v>-12.997657529297401</v>
      </c>
      <c r="I352" s="304">
        <f t="shared" ca="1" si="158"/>
        <v>26.699091822716536</v>
      </c>
      <c r="J352" s="306">
        <f t="shared" ca="1" si="159"/>
        <v>453.00846215661795</v>
      </c>
      <c r="K352" s="307">
        <f t="shared" ca="1" si="160"/>
        <v>1264.4803351442451</v>
      </c>
      <c r="L352" s="304">
        <f t="shared" ca="1" si="145"/>
        <v>1343.1780167766321</v>
      </c>
      <c r="M352" s="306">
        <f t="shared" ca="1" si="161"/>
        <v>-0.50844576936332531</v>
      </c>
      <c r="N352" s="304">
        <f t="shared" ca="1" si="162"/>
        <v>-29.131796695800595</v>
      </c>
      <c r="P352" s="310">
        <f t="shared" ca="1" si="163"/>
        <v>23</v>
      </c>
      <c r="Q352" s="304">
        <f t="shared" ca="1" si="164"/>
        <v>0</v>
      </c>
      <c r="R352" s="306">
        <f t="shared" ca="1" si="165"/>
        <v>0</v>
      </c>
      <c r="S352" s="307">
        <f t="shared" ca="1" si="166"/>
        <v>8.5499999999999989</v>
      </c>
      <c r="T352" s="304">
        <f t="shared" ca="1" si="146"/>
        <v>83.875499999999988</v>
      </c>
      <c r="U352" s="311">
        <f t="shared" ca="1" si="147"/>
        <v>0</v>
      </c>
      <c r="V352" s="306">
        <f t="shared" ca="1" si="148"/>
        <v>1.0793121312029754</v>
      </c>
      <c r="W352" s="304">
        <f t="shared" ca="1" si="149"/>
        <v>2.3842220355138153</v>
      </c>
      <c r="Y352" s="314" t="str">
        <f t="shared" ca="1" si="167"/>
        <v/>
      </c>
      <c r="Z352" s="315" t="str">
        <f t="shared" ca="1" si="168"/>
        <v/>
      </c>
      <c r="AA352" s="316" t="str">
        <f t="shared" ca="1" si="169"/>
        <v/>
      </c>
      <c r="AC352" s="310" t="e">
        <f t="shared" ca="1" si="170"/>
        <v>#N/A</v>
      </c>
      <c r="AD352" s="323" t="e">
        <f t="shared" ca="1" si="171"/>
        <v>#N/A</v>
      </c>
      <c r="AE352" s="324" t="e">
        <f t="shared" ca="1" si="150"/>
        <v>#N/A</v>
      </c>
      <c r="AG352" s="306">
        <f t="shared" ca="1" si="172"/>
        <v>4.2234982296874266</v>
      </c>
      <c r="AH352" s="304">
        <f t="shared" ca="1" si="173"/>
        <v>-0.2697770902952053</v>
      </c>
    </row>
    <row r="353" spans="1:34" x14ac:dyDescent="0.3">
      <c r="A353" s="347">
        <f t="shared" ca="1" si="151"/>
        <v>0.1</v>
      </c>
      <c r="B353" s="304">
        <f t="shared" ca="1" si="152"/>
        <v>16.899999999999974</v>
      </c>
      <c r="D353" s="306">
        <f t="shared" ca="1" si="153"/>
        <v>-0.24358165815634067</v>
      </c>
      <c r="E353" s="307">
        <f t="shared" ca="1" si="154"/>
        <v>-9.6742470788645267</v>
      </c>
      <c r="F353" s="304">
        <f t="shared" ca="1" si="155"/>
        <v>9.6773130861365146</v>
      </c>
      <c r="G353" s="306">
        <f t="shared" ca="1" si="156"/>
        <v>23.297357099339017</v>
      </c>
      <c r="H353" s="307">
        <f t="shared" ca="1" si="157"/>
        <v>-13.965082237183854</v>
      </c>
      <c r="I353" s="304">
        <f t="shared" ca="1" si="158"/>
        <v>27.162296841493909</v>
      </c>
      <c r="J353" s="306">
        <f t="shared" ca="1" si="159"/>
        <v>455.33941577484262</v>
      </c>
      <c r="K353" s="307">
        <f t="shared" ca="1" si="160"/>
        <v>1263.1321981559211</v>
      </c>
      <c r="L353" s="304">
        <f t="shared" ca="1" si="145"/>
        <v>1342.6976329674467</v>
      </c>
      <c r="M353" s="306">
        <f t="shared" ca="1" si="161"/>
        <v>-0.53999861851251929</v>
      </c>
      <c r="N353" s="304">
        <f t="shared" ca="1" si="162"/>
        <v>-30.93964178366236</v>
      </c>
      <c r="P353" s="310">
        <f t="shared" ca="1" si="163"/>
        <v>23</v>
      </c>
      <c r="Q353" s="304">
        <f t="shared" ca="1" si="164"/>
        <v>0</v>
      </c>
      <c r="R353" s="306">
        <f t="shared" ca="1" si="165"/>
        <v>0</v>
      </c>
      <c r="S353" s="307">
        <f t="shared" ca="1" si="166"/>
        <v>8.5499999999999989</v>
      </c>
      <c r="T353" s="304">
        <f t="shared" ca="1" si="146"/>
        <v>83.875499999999988</v>
      </c>
      <c r="U353" s="311">
        <f t="shared" ca="1" si="147"/>
        <v>0</v>
      </c>
      <c r="V353" s="306">
        <f t="shared" ca="1" si="148"/>
        <v>1.0794582304882443</v>
      </c>
      <c r="W353" s="304">
        <f t="shared" ca="1" si="149"/>
        <v>2.4680018748449535</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4.4968498968716846</v>
      </c>
      <c r="AH353" s="304">
        <f t="shared" ca="1" si="173"/>
        <v>-0.27885637842266847</v>
      </c>
    </row>
    <row r="354" spans="1:34" x14ac:dyDescent="0.3">
      <c r="A354" s="347">
        <f t="shared" ca="1" si="151"/>
        <v>0.1</v>
      </c>
      <c r="B354" s="304">
        <f t="shared" ca="1" si="152"/>
        <v>16.999999999999975</v>
      </c>
      <c r="D354" s="306">
        <f t="shared" ca="1" si="153"/>
        <v>-0.24758226744191747</v>
      </c>
      <c r="E354" s="307">
        <f t="shared" ca="1" si="154"/>
        <v>-9.6615923196544511</v>
      </c>
      <c r="F354" s="304">
        <f t="shared" ca="1" si="155"/>
        <v>9.6647639976544468</v>
      </c>
      <c r="G354" s="306">
        <f t="shared" ca="1" si="156"/>
        <v>23.272598872594823</v>
      </c>
      <c r="H354" s="307">
        <f t="shared" ca="1" si="157"/>
        <v>-14.931241469149299</v>
      </c>
      <c r="I354" s="304">
        <f t="shared" ca="1" si="158"/>
        <v>27.650602707621864</v>
      </c>
      <c r="J354" s="306">
        <f t="shared" ca="1" si="159"/>
        <v>457.66791357343931</v>
      </c>
      <c r="K354" s="307">
        <f t="shared" ca="1" si="160"/>
        <v>1261.6873819706043</v>
      </c>
      <c r="L354" s="304">
        <f t="shared" ca="1" si="145"/>
        <v>1342.1307570197855</v>
      </c>
      <c r="M354" s="306">
        <f t="shared" ca="1" si="161"/>
        <v>-0.57043350030305173</v>
      </c>
      <c r="N354" s="304">
        <f t="shared" ca="1" si="162"/>
        <v>-32.683432060239433</v>
      </c>
      <c r="P354" s="310">
        <f t="shared" ca="1" si="163"/>
        <v>23</v>
      </c>
      <c r="Q354" s="304">
        <f t="shared" ca="1" si="164"/>
        <v>0</v>
      </c>
      <c r="R354" s="306">
        <f t="shared" ca="1" si="165"/>
        <v>0</v>
      </c>
      <c r="S354" s="307">
        <f t="shared" ca="1" si="166"/>
        <v>8.5499999999999989</v>
      </c>
      <c r="T354" s="304">
        <f t="shared" ca="1" si="146"/>
        <v>83.875499999999988</v>
      </c>
      <c r="U354" s="311">
        <f t="shared" ca="1" si="147"/>
        <v>0</v>
      </c>
      <c r="V354" s="306">
        <f t="shared" ca="1" si="148"/>
        <v>1.0796148275865824</v>
      </c>
      <c r="W354" s="304">
        <f t="shared" ca="1" si="149"/>
        <v>2.5579067388141885</v>
      </c>
      <c r="Y354" s="314" t="str">
        <f t="shared" ca="1" si="167"/>
        <v/>
      </c>
      <c r="Z354" s="315" t="str">
        <f t="shared" ca="1" si="168"/>
        <v/>
      </c>
      <c r="AA354" s="316" t="str">
        <f t="shared" ca="1" si="169"/>
        <v/>
      </c>
      <c r="AC354" s="310">
        <f t="shared" ca="1" si="170"/>
        <v>16.999999999999975</v>
      </c>
      <c r="AD354" s="323">
        <f t="shared" ca="1" si="171"/>
        <v>457.66791357343931</v>
      </c>
      <c r="AE354" s="324" t="e">
        <f t="shared" ca="1" si="150"/>
        <v>#N/A</v>
      </c>
      <c r="AG354" s="306">
        <f t="shared" ca="1" si="172"/>
        <v>4.7550072640674497</v>
      </c>
      <c r="AH354" s="304">
        <f t="shared" ca="1" si="173"/>
        <v>-0.28865519004034546</v>
      </c>
    </row>
    <row r="355" spans="1:34" x14ac:dyDescent="0.3">
      <c r="A355" s="347">
        <f t="shared" ca="1" si="151"/>
        <v>0.1</v>
      </c>
      <c r="B355" s="304">
        <f t="shared" ca="1" si="152"/>
        <v>17.099999999999977</v>
      </c>
      <c r="D355" s="306">
        <f t="shared" ca="1" si="153"/>
        <v>-0.2518018248715202</v>
      </c>
      <c r="E355" s="307">
        <f t="shared" ca="1" si="154"/>
        <v>-9.6484489042194408</v>
      </c>
      <c r="F355" s="304">
        <f t="shared" ca="1" si="155"/>
        <v>9.6517340626615873</v>
      </c>
      <c r="G355" s="306">
        <f t="shared" ca="1" si="156"/>
        <v>23.247418690107672</v>
      </c>
      <c r="H355" s="307">
        <f t="shared" ca="1" si="157"/>
        <v>-15.896086359571242</v>
      </c>
      <c r="I355" s="304">
        <f t="shared" ca="1" si="158"/>
        <v>28.16252895789216</v>
      </c>
      <c r="J355" s="306">
        <f t="shared" ca="1" si="159"/>
        <v>459.99391445157443</v>
      </c>
      <c r="K355" s="307">
        <f t="shared" ca="1" si="160"/>
        <v>1260.1460155791683</v>
      </c>
      <c r="L355" s="304">
        <f t="shared" ca="1" si="145"/>
        <v>1341.4776859540139</v>
      </c>
      <c r="M355" s="306">
        <f t="shared" ca="1" si="161"/>
        <v>-0.59975592465162431</v>
      </c>
      <c r="N355" s="304">
        <f t="shared" ca="1" si="162"/>
        <v>-34.363483220504278</v>
      </c>
      <c r="P355" s="310">
        <f t="shared" ca="1" si="163"/>
        <v>23</v>
      </c>
      <c r="Q355" s="304">
        <f t="shared" ca="1" si="164"/>
        <v>0</v>
      </c>
      <c r="R355" s="306">
        <f t="shared" ca="1" si="165"/>
        <v>0</v>
      </c>
      <c r="S355" s="307">
        <f t="shared" ca="1" si="166"/>
        <v>8.5499999999999989</v>
      </c>
      <c r="T355" s="304">
        <f t="shared" ca="1" si="146"/>
        <v>83.875499999999988</v>
      </c>
      <c r="U355" s="311">
        <f t="shared" ca="1" si="147"/>
        <v>0</v>
      </c>
      <c r="V355" s="306">
        <f t="shared" ca="1" si="148"/>
        <v>1.0797819127908819</v>
      </c>
      <c r="W355" s="304">
        <f t="shared" ca="1" si="149"/>
        <v>2.6539089076390296</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4.9981998218046639</v>
      </c>
      <c r="AH355" s="304">
        <f t="shared" ca="1" si="173"/>
        <v>-0.29917037880867703</v>
      </c>
    </row>
    <row r="356" spans="1:34" x14ac:dyDescent="0.3">
      <c r="A356" s="347">
        <f t="shared" ca="1" si="151"/>
        <v>0.1</v>
      </c>
      <c r="B356" s="304">
        <f t="shared" ca="1" si="152"/>
        <v>17.199999999999978</v>
      </c>
      <c r="D356" s="306">
        <f t="shared" ca="1" si="153"/>
        <v>-0.25622587417876008</v>
      </c>
      <c r="E356" s="307">
        <f t="shared" ca="1" si="154"/>
        <v>-9.6347982419985687</v>
      </c>
      <c r="F356" s="304">
        <f t="shared" ca="1" si="155"/>
        <v>9.6382046493430185</v>
      </c>
      <c r="G356" s="306">
        <f t="shared" ca="1" si="156"/>
        <v>23.221796102689797</v>
      </c>
      <c r="H356" s="307">
        <f t="shared" ca="1" si="157"/>
        <v>-16.859566183771101</v>
      </c>
      <c r="I356" s="304">
        <f t="shared" ca="1" si="158"/>
        <v>28.696633707455252</v>
      </c>
      <c r="J356" s="306">
        <f t="shared" ca="1" si="159"/>
        <v>462.3173751912143</v>
      </c>
      <c r="K356" s="307">
        <f t="shared" ca="1" si="160"/>
        <v>1258.5082329520012</v>
      </c>
      <c r="L356" s="304">
        <f t="shared" ca="1" si="145"/>
        <v>1340.7387246632591</v>
      </c>
      <c r="M356" s="306">
        <f t="shared" ca="1" si="161"/>
        <v>-0.62797863995825742</v>
      </c>
      <c r="N356" s="304">
        <f t="shared" ca="1" si="162"/>
        <v>-35.980525693973625</v>
      </c>
      <c r="P356" s="310">
        <f t="shared" ca="1" si="163"/>
        <v>23</v>
      </c>
      <c r="Q356" s="304">
        <f t="shared" ca="1" si="164"/>
        <v>0</v>
      </c>
      <c r="R356" s="306">
        <f t="shared" ca="1" si="165"/>
        <v>0</v>
      </c>
      <c r="S356" s="307">
        <f t="shared" ca="1" si="166"/>
        <v>8.5499999999999989</v>
      </c>
      <c r="T356" s="304">
        <f t="shared" ca="1" si="146"/>
        <v>83.875499999999988</v>
      </c>
      <c r="U356" s="311">
        <f t="shared" ca="1" si="147"/>
        <v>0</v>
      </c>
      <c r="V356" s="306">
        <f t="shared" ca="1" si="148"/>
        <v>1.0799594761332771</v>
      </c>
      <c r="W356" s="304">
        <f t="shared" ca="1" si="149"/>
        <v>2.7559797947785873</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5.2267676299834376</v>
      </c>
      <c r="AH356" s="304">
        <f t="shared" ca="1" si="173"/>
        <v>-0.31039870264783975</v>
      </c>
    </row>
    <row r="357" spans="1:34" x14ac:dyDescent="0.3">
      <c r="A357" s="347">
        <f t="shared" ca="1" si="151"/>
        <v>0.1</v>
      </c>
      <c r="B357" s="304">
        <f t="shared" ca="1" si="152"/>
        <v>17.299999999999979</v>
      </c>
      <c r="D357" s="306">
        <f t="shared" ca="1" si="153"/>
        <v>-0.26084034603778083</v>
      </c>
      <c r="E357" s="307">
        <f t="shared" ca="1" si="154"/>
        <v>-9.6206238183310759</v>
      </c>
      <c r="F357" s="304">
        <f t="shared" ca="1" si="155"/>
        <v>9.6241592017152513</v>
      </c>
      <c r="G357" s="306">
        <f t="shared" ca="1" si="156"/>
        <v>23.195712068086021</v>
      </c>
      <c r="H357" s="307">
        <f t="shared" ca="1" si="157"/>
        <v>-17.821628565604207</v>
      </c>
      <c r="I357" s="304">
        <f t="shared" ca="1" si="158"/>
        <v>29.251521380535259</v>
      </c>
      <c r="J357" s="306">
        <f t="shared" ca="1" si="159"/>
        <v>464.63825059975306</v>
      </c>
      <c r="K357" s="307">
        <f t="shared" ca="1" si="160"/>
        <v>1256.7741732145325</v>
      </c>
      <c r="L357" s="304">
        <f t="shared" ca="1" si="145"/>
        <v>1339.9141861997994</v>
      </c>
      <c r="M357" s="306">
        <f t="shared" ca="1" si="161"/>
        <v>-0.65512044493105825</v>
      </c>
      <c r="N357" s="304">
        <f t="shared" ca="1" si="162"/>
        <v>-37.535636567282303</v>
      </c>
      <c r="P357" s="310">
        <f t="shared" ca="1" si="163"/>
        <v>23</v>
      </c>
      <c r="Q357" s="304">
        <f t="shared" ca="1" si="164"/>
        <v>0</v>
      </c>
      <c r="R357" s="306">
        <f t="shared" ca="1" si="165"/>
        <v>0</v>
      </c>
      <c r="S357" s="307">
        <f t="shared" ca="1" si="166"/>
        <v>8.5499999999999989</v>
      </c>
      <c r="T357" s="304">
        <f t="shared" ca="1" si="146"/>
        <v>83.875499999999988</v>
      </c>
      <c r="U357" s="311">
        <f t="shared" ca="1" si="147"/>
        <v>0</v>
      </c>
      <c r="V357" s="306">
        <f t="shared" ca="1" si="148"/>
        <v>1.0801475073647089</v>
      </c>
      <c r="W357" s="304">
        <f t="shared" ca="1" si="149"/>
        <v>2.8640899046108479</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5.4411386455655224</v>
      </c>
      <c r="AH357" s="304">
        <f t="shared" ca="1" si="173"/>
        <v>-0.32233681810275877</v>
      </c>
    </row>
    <row r="358" spans="1:34" x14ac:dyDescent="0.3">
      <c r="A358" s="347">
        <f t="shared" ca="1" si="151"/>
        <v>0.1</v>
      </c>
      <c r="B358" s="304">
        <f t="shared" ca="1" si="152"/>
        <v>17.399999999999981</v>
      </c>
      <c r="D358" s="306">
        <f t="shared" ca="1" si="153"/>
        <v>-0.2656316268523593</v>
      </c>
      <c r="E358" s="307">
        <f t="shared" ca="1" si="154"/>
        <v>-9.6059110642887653</v>
      </c>
      <c r="F358" s="304">
        <f t="shared" ca="1" si="155"/>
        <v>9.6095831093866693</v>
      </c>
      <c r="G358" s="306">
        <f t="shared" ca="1" si="156"/>
        <v>23.169148905400785</v>
      </c>
      <c r="H358" s="307">
        <f t="shared" ca="1" si="157"/>
        <v>-18.782219672033083</v>
      </c>
      <c r="I358" s="304">
        <f t="shared" ca="1" si="158"/>
        <v>29.825848467548091</v>
      </c>
      <c r="J358" s="306">
        <f t="shared" ca="1" si="159"/>
        <v>466.9564936484274</v>
      </c>
      <c r="K358" s="307">
        <f t="shared" ca="1" si="160"/>
        <v>1254.9439808026507</v>
      </c>
      <c r="L358" s="304">
        <f t="shared" ca="1" si="145"/>
        <v>1339.004392044043</v>
      </c>
      <c r="M358" s="306">
        <f t="shared" ca="1" si="161"/>
        <v>-0.68120507616530002</v>
      </c>
      <c r="N358" s="304">
        <f t="shared" ca="1" si="162"/>
        <v>-39.030175847159477</v>
      </c>
      <c r="P358" s="310">
        <f t="shared" ca="1" si="163"/>
        <v>23</v>
      </c>
      <c r="Q358" s="304">
        <f t="shared" ca="1" si="164"/>
        <v>0</v>
      </c>
      <c r="R358" s="306">
        <f t="shared" ca="1" si="165"/>
        <v>0</v>
      </c>
      <c r="S358" s="307">
        <f t="shared" ca="1" si="166"/>
        <v>8.5499999999999989</v>
      </c>
      <c r="T358" s="304">
        <f t="shared" ca="1" si="146"/>
        <v>83.875499999999988</v>
      </c>
      <c r="U358" s="311">
        <f t="shared" ca="1" si="147"/>
        <v>0</v>
      </c>
      <c r="V358" s="306">
        <f t="shared" ca="1" si="148"/>
        <v>1.0803459959365942</v>
      </c>
      <c r="W358" s="304">
        <f t="shared" ca="1" si="149"/>
        <v>2.9782087956163537</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5.6418078958161102</v>
      </c>
      <c r="AH358" s="304">
        <f t="shared" ca="1" si="173"/>
        <v>-0.33498127539308165</v>
      </c>
    </row>
    <row r="359" spans="1:34" x14ac:dyDescent="0.3">
      <c r="A359" s="347">
        <f t="shared" ca="1" si="151"/>
        <v>0.1</v>
      </c>
      <c r="B359" s="304">
        <f t="shared" ca="1" si="152"/>
        <v>17.499999999999982</v>
      </c>
      <c r="D359" s="306">
        <f t="shared" ca="1" si="153"/>
        <v>-0.27058660946820029</v>
      </c>
      <c r="E359" s="307">
        <f t="shared" ca="1" si="154"/>
        <v>-9.5906472235949209</v>
      </c>
      <c r="F359" s="304">
        <f t="shared" ca="1" si="155"/>
        <v>9.5944635744095894</v>
      </c>
      <c r="G359" s="306">
        <f t="shared" ca="1" si="156"/>
        <v>23.142090244453964</v>
      </c>
      <c r="H359" s="307">
        <f t="shared" ca="1" si="157"/>
        <v>-19.741284394392576</v>
      </c>
      <c r="I359" s="304">
        <f t="shared" ca="1" si="158"/>
        <v>30.418327541512522</v>
      </c>
      <c r="J359" s="306">
        <f t="shared" ca="1" si="159"/>
        <v>469.27205560592012</v>
      </c>
      <c r="K359" s="307">
        <f t="shared" ca="1" si="160"/>
        <v>1253.0178055993294</v>
      </c>
      <c r="L359" s="304">
        <f t="shared" ca="1" si="145"/>
        <v>1338.0096723572535</v>
      </c>
      <c r="M359" s="306">
        <f t="shared" ca="1" si="161"/>
        <v>-0.70626019048585154</v>
      </c>
      <c r="N359" s="304">
        <f t="shared" ca="1" si="162"/>
        <v>-40.46572815294487</v>
      </c>
      <c r="P359" s="310">
        <f t="shared" ca="1" si="163"/>
        <v>23</v>
      </c>
      <c r="Q359" s="304">
        <f t="shared" ca="1" si="164"/>
        <v>0</v>
      </c>
      <c r="R359" s="306">
        <f t="shared" ca="1" si="165"/>
        <v>0</v>
      </c>
      <c r="S359" s="307">
        <f t="shared" ca="1" si="166"/>
        <v>8.5499999999999989</v>
      </c>
      <c r="T359" s="304">
        <f t="shared" ca="1" si="146"/>
        <v>83.875499999999988</v>
      </c>
      <c r="U359" s="311">
        <f t="shared" ca="1" si="147"/>
        <v>0</v>
      </c>
      <c r="V359" s="306">
        <f t="shared" ca="1" si="148"/>
        <v>1.0805549309844569</v>
      </c>
      <c r="W359" s="304">
        <f t="shared" ca="1" si="149"/>
        <v>3.0983050487077768</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5.8293188773197926</v>
      </c>
      <c r="AH359" s="304">
        <f t="shared" ca="1" si="173"/>
        <v>-0.34832851410717591</v>
      </c>
    </row>
    <row r="360" spans="1:34" x14ac:dyDescent="0.3">
      <c r="A360" s="347">
        <f t="shared" ca="1" si="151"/>
        <v>0.1</v>
      </c>
      <c r="B360" s="304">
        <f t="shared" ca="1" si="152"/>
        <v>17.599999999999984</v>
      </c>
      <c r="D360" s="306">
        <f t="shared" ca="1" si="153"/>
        <v>-0.27569272799035416</v>
      </c>
      <c r="E360" s="307">
        <f t="shared" ca="1" si="154"/>
        <v>-9.574821220069877</v>
      </c>
      <c r="F360" s="304">
        <f t="shared" ca="1" si="155"/>
        <v>9.5787894786641576</v>
      </c>
      <c r="G360" s="306">
        <f t="shared" ca="1" si="156"/>
        <v>23.11452097165493</v>
      </c>
      <c r="H360" s="307">
        <f t="shared" ca="1" si="157"/>
        <v>-20.698766516399562</v>
      </c>
      <c r="I360" s="304">
        <f t="shared" ca="1" si="158"/>
        <v>31.027729775952011</v>
      </c>
      <c r="J360" s="306">
        <f t="shared" ca="1" si="159"/>
        <v>471.58488616672554</v>
      </c>
      <c r="K360" s="307">
        <f t="shared" ca="1" si="160"/>
        <v>1250.9958030537898</v>
      </c>
      <c r="L360" s="304">
        <f t="shared" ca="1" si="145"/>
        <v>1336.9303662192283</v>
      </c>
      <c r="M360" s="306">
        <f t="shared" ca="1" si="161"/>
        <v>-0.73031645256407718</v>
      </c>
      <c r="N360" s="304">
        <f t="shared" ca="1" si="162"/>
        <v>-41.844050440887813</v>
      </c>
      <c r="P360" s="310">
        <f t="shared" ca="1" si="163"/>
        <v>23</v>
      </c>
      <c r="Q360" s="304">
        <f t="shared" ca="1" si="164"/>
        <v>0</v>
      </c>
      <c r="R360" s="306">
        <f t="shared" ca="1" si="165"/>
        <v>0</v>
      </c>
      <c r="S360" s="307">
        <f t="shared" ca="1" si="166"/>
        <v>8.5499999999999989</v>
      </c>
      <c r="T360" s="304">
        <f t="shared" ca="1" si="146"/>
        <v>83.875499999999988</v>
      </c>
      <c r="U360" s="311">
        <f t="shared" ca="1" si="147"/>
        <v>0</v>
      </c>
      <c r="V360" s="306">
        <f t="shared" ca="1" si="148"/>
        <v>1.0807743013133837</v>
      </c>
      <c r="W360" s="304">
        <f t="shared" ca="1" si="149"/>
        <v>3.2243462403439658</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6.004247356818694</v>
      </c>
      <c r="AH360" s="304">
        <f t="shared" ca="1" si="173"/>
        <v>-0.36237485949798565</v>
      </c>
    </row>
    <row r="361" spans="1:34" x14ac:dyDescent="0.3">
      <c r="A361" s="347">
        <f t="shared" ca="1" si="151"/>
        <v>0.1</v>
      </c>
      <c r="B361" s="304">
        <f t="shared" ca="1" si="152"/>
        <v>17.699999999999985</v>
      </c>
      <c r="D361" s="306">
        <f t="shared" ca="1" si="153"/>
        <v>-0.28093797896108719</v>
      </c>
      <c r="E361" s="307">
        <f t="shared" ca="1" si="154"/>
        <v>-9.5584235282558669</v>
      </c>
      <c r="F361" s="304">
        <f t="shared" ca="1" si="155"/>
        <v>9.5625512544267224</v>
      </c>
      <c r="G361" s="306">
        <f t="shared" ca="1" si="156"/>
        <v>23.086427173758821</v>
      </c>
      <c r="H361" s="307">
        <f t="shared" ca="1" si="157"/>
        <v>-21.65460886922515</v>
      </c>
      <c r="I361" s="304">
        <f t="shared" ca="1" si="158"/>
        <v>31.652886202183748</v>
      </c>
      <c r="J361" s="306">
        <f t="shared" ca="1" si="159"/>
        <v>473.89493357399624</v>
      </c>
      <c r="K361" s="307">
        <f t="shared" ca="1" si="160"/>
        <v>1248.8781342845086</v>
      </c>
      <c r="L361" s="304">
        <f t="shared" ca="1" si="145"/>
        <v>1335.766821852174</v>
      </c>
      <c r="M361" s="306">
        <f t="shared" ca="1" si="161"/>
        <v>-0.75340673154514226</v>
      </c>
      <c r="N361" s="304">
        <f t="shared" ca="1" si="162"/>
        <v>-43.167025974282474</v>
      </c>
      <c r="P361" s="310">
        <f t="shared" ca="1" si="163"/>
        <v>23</v>
      </c>
      <c r="Q361" s="304">
        <f t="shared" ca="1" si="164"/>
        <v>0</v>
      </c>
      <c r="R361" s="306">
        <f t="shared" ca="1" si="165"/>
        <v>0</v>
      </c>
      <c r="S361" s="307">
        <f t="shared" ca="1" si="166"/>
        <v>8.5499999999999989</v>
      </c>
      <c r="T361" s="304">
        <f t="shared" ca="1" si="146"/>
        <v>83.875499999999988</v>
      </c>
      <c r="U361" s="311">
        <f t="shared" ca="1" si="147"/>
        <v>0</v>
      </c>
      <c r="V361" s="306">
        <f t="shared" ca="1" si="148"/>
        <v>1.0810040953851479</v>
      </c>
      <c r="W361" s="304">
        <f t="shared" ca="1" si="149"/>
        <v>3.3562989200737205</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6.1671875916009276</v>
      </c>
      <c r="AH361" s="304">
        <f t="shared" ca="1" si="173"/>
        <v>-0.37711651933847556</v>
      </c>
    </row>
    <row r="362" spans="1:34" x14ac:dyDescent="0.3">
      <c r="A362" s="347">
        <f t="shared" ca="1" si="151"/>
        <v>0.1</v>
      </c>
      <c r="B362" s="304">
        <f t="shared" ca="1" si="152"/>
        <v>17.799999999999986</v>
      </c>
      <c r="D362" s="306">
        <f t="shared" ca="1" si="153"/>
        <v>-0.28631093110350475</v>
      </c>
      <c r="E362" s="307">
        <f t="shared" ca="1" si="154"/>
        <v>-9.5414460491713839</v>
      </c>
      <c r="F362" s="304">
        <f t="shared" ca="1" si="155"/>
        <v>9.5457407600729223</v>
      </c>
      <c r="G362" s="306">
        <f t="shared" ca="1" si="156"/>
        <v>23.057796080648469</v>
      </c>
      <c r="H362" s="307">
        <f t="shared" ca="1" si="157"/>
        <v>-22.60875347414229</v>
      </c>
      <c r="I362" s="304">
        <f t="shared" ca="1" si="158"/>
        <v>32.292687930107476</v>
      </c>
      <c r="J362" s="306">
        <f t="shared" ca="1" si="159"/>
        <v>476.2021447367166</v>
      </c>
      <c r="K362" s="307">
        <f t="shared" ca="1" si="160"/>
        <v>1246.6649661673403</v>
      </c>
      <c r="L362" s="304">
        <f t="shared" ca="1" si="145"/>
        <v>1334.5193968320073</v>
      </c>
      <c r="M362" s="306">
        <f t="shared" ca="1" si="161"/>
        <v>-0.77556540530262019</v>
      </c>
      <c r="N362" s="304">
        <f t="shared" ca="1" si="162"/>
        <v>-44.436624460193258</v>
      </c>
      <c r="P362" s="310">
        <f t="shared" ca="1" si="163"/>
        <v>23</v>
      </c>
      <c r="Q362" s="304">
        <f t="shared" ca="1" si="164"/>
        <v>0</v>
      </c>
      <c r="R362" s="306">
        <f t="shared" ca="1" si="165"/>
        <v>0</v>
      </c>
      <c r="S362" s="307">
        <f t="shared" ca="1" si="166"/>
        <v>8.5499999999999989</v>
      </c>
      <c r="T362" s="304">
        <f t="shared" ca="1" si="146"/>
        <v>83.875499999999988</v>
      </c>
      <c r="U362" s="311">
        <f t="shared" ca="1" si="147"/>
        <v>0</v>
      </c>
      <c r="V362" s="306">
        <f t="shared" ca="1" si="148"/>
        <v>1.0812443013068818</v>
      </c>
      <c r="W362" s="304">
        <f t="shared" ca="1" si="149"/>
        <v>3.4941285921669136</v>
      </c>
      <c r="Y362" s="314" t="str">
        <f t="shared" ca="1" si="167"/>
        <v/>
      </c>
      <c r="Z362" s="315" t="str">
        <f t="shared" ca="1" si="168"/>
        <v/>
      </c>
      <c r="AA362" s="316" t="str">
        <f t="shared" ca="1" si="169"/>
        <v/>
      </c>
      <c r="AC362" s="310" t="e">
        <f t="shared" ca="1" si="170"/>
        <v>#N/A</v>
      </c>
      <c r="AD362" s="323" t="e">
        <f t="shared" ca="1" si="171"/>
        <v>#N/A</v>
      </c>
      <c r="AE362" s="324" t="e">
        <f t="shared" ca="1" si="150"/>
        <v>#N/A</v>
      </c>
      <c r="AG362" s="306">
        <f t="shared" ca="1" si="172"/>
        <v>6.3187408726048266</v>
      </c>
      <c r="AH362" s="304">
        <f t="shared" ca="1" si="173"/>
        <v>-0.39254958129517203</v>
      </c>
    </row>
    <row r="363" spans="1:34" x14ac:dyDescent="0.3">
      <c r="A363" s="347">
        <f t="shared" ca="1" si="151"/>
        <v>0.1</v>
      </c>
      <c r="B363" s="304">
        <f t="shared" ca="1" si="152"/>
        <v>17.899999999999988</v>
      </c>
      <c r="D363" s="306">
        <f t="shared" ca="1" si="153"/>
        <v>-0.29180072570083715</v>
      </c>
      <c r="E363" s="307">
        <f t="shared" ca="1" si="154"/>
        <v>-9.5238819925429539</v>
      </c>
      <c r="F363" s="304">
        <f t="shared" ca="1" si="155"/>
        <v>9.5283511622632524</v>
      </c>
      <c r="G363" s="306">
        <f t="shared" ca="1" si="156"/>
        <v>23.028616008078384</v>
      </c>
      <c r="H363" s="307">
        <f t="shared" ca="1" si="157"/>
        <v>-23.561141673396584</v>
      </c>
      <c r="I363" s="304">
        <f t="shared" ca="1" si="158"/>
        <v>32.946085536849274</v>
      </c>
      <c r="J363" s="306">
        <f t="shared" ca="1" si="159"/>
        <v>478.50646534115293</v>
      </c>
      <c r="K363" s="307">
        <f t="shared" ca="1" si="160"/>
        <v>1244.3564714099632</v>
      </c>
      <c r="L363" s="304">
        <f t="shared" ca="1" si="145"/>
        <v>1333.1884582883017</v>
      </c>
      <c r="M363" s="306">
        <f t="shared" ca="1" si="161"/>
        <v>-0.79682776729830374</v>
      </c>
      <c r="N363" s="304">
        <f t="shared" ca="1" si="162"/>
        <v>-45.654868065025276</v>
      </c>
      <c r="P363" s="310">
        <f t="shared" ca="1" si="163"/>
        <v>23</v>
      </c>
      <c r="Q363" s="304">
        <f t="shared" ca="1" si="164"/>
        <v>0</v>
      </c>
      <c r="R363" s="306">
        <f t="shared" ca="1" si="165"/>
        <v>0</v>
      </c>
      <c r="S363" s="307">
        <f t="shared" ca="1" si="166"/>
        <v>8.5499999999999989</v>
      </c>
      <c r="T363" s="304">
        <f t="shared" ca="1" si="146"/>
        <v>83.875499999999988</v>
      </c>
      <c r="U363" s="311">
        <f t="shared" ca="1" si="147"/>
        <v>0</v>
      </c>
      <c r="V363" s="306">
        <f t="shared" ca="1" si="148"/>
        <v>1.0814949068211492</v>
      </c>
      <c r="W363" s="304">
        <f t="shared" ca="1" si="149"/>
        <v>3.6377997010068421</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6.4595062172682178</v>
      </c>
      <c r="AH363" s="304">
        <f t="shared" ca="1" si="173"/>
        <v>-0.40867001077975601</v>
      </c>
    </row>
    <row r="364" spans="1:34" x14ac:dyDescent="0.3">
      <c r="A364" s="347">
        <f t="shared" ca="1" si="151"/>
        <v>0.1</v>
      </c>
      <c r="B364" s="304">
        <f t="shared" ca="1" si="152"/>
        <v>17.999999999999989</v>
      </c>
      <c r="D364" s="306">
        <f t="shared" ca="1" si="153"/>
        <v>-0.29739706949276168</v>
      </c>
      <c r="E364" s="307">
        <f t="shared" ca="1" si="154"/>
        <v>-9.5057257663632981</v>
      </c>
      <c r="F364" s="304">
        <f t="shared" ca="1" si="155"/>
        <v>9.5103768254599661</v>
      </c>
      <c r="G364" s="306">
        <f t="shared" ca="1" si="156"/>
        <v>22.998876301129108</v>
      </c>
      <c r="H364" s="307">
        <f t="shared" ca="1" si="157"/>
        <v>-24.511714250032913</v>
      </c>
      <c r="I364" s="304">
        <f t="shared" ca="1" si="158"/>
        <v>33.61208780468575</v>
      </c>
      <c r="J364" s="306">
        <f t="shared" ca="1" si="159"/>
        <v>480.80783995661329</v>
      </c>
      <c r="K364" s="307">
        <f t="shared" ca="1" si="160"/>
        <v>1241.9528286137918</v>
      </c>
      <c r="L364" s="304">
        <f t="shared" ca="1" si="145"/>
        <v>1331.7743830940519</v>
      </c>
      <c r="M364" s="306">
        <f t="shared" ca="1" si="161"/>
        <v>-0.81722952863578335</v>
      </c>
      <c r="N364" s="304">
        <f t="shared" ca="1" si="162"/>
        <v>-46.823802884296036</v>
      </c>
      <c r="P364" s="310">
        <f t="shared" ca="1" si="163"/>
        <v>23</v>
      </c>
      <c r="Q364" s="304">
        <f t="shared" ca="1" si="164"/>
        <v>0</v>
      </c>
      <c r="R364" s="306">
        <f t="shared" ca="1" si="165"/>
        <v>0</v>
      </c>
      <c r="S364" s="307">
        <f t="shared" ca="1" si="166"/>
        <v>8.5499999999999989</v>
      </c>
      <c r="T364" s="304">
        <f t="shared" ca="1" si="146"/>
        <v>83.875499999999988</v>
      </c>
      <c r="U364" s="311">
        <f t="shared" ca="1" si="147"/>
        <v>0</v>
      </c>
      <c r="V364" s="306">
        <f t="shared" ca="1" si="148"/>
        <v>1.0817558992973082</v>
      </c>
      <c r="W364" s="304">
        <f t="shared" ca="1" si="149"/>
        <v>3.787275619936656</v>
      </c>
      <c r="Y364" s="314" t="str">
        <f t="shared" ca="1" si="167"/>
        <v/>
      </c>
      <c r="Z364" s="315" t="str">
        <f t="shared" ca="1" si="168"/>
        <v/>
      </c>
      <c r="AA364" s="316" t="str">
        <f t="shared" ca="1" si="169"/>
        <v/>
      </c>
      <c r="AC364" s="310">
        <f t="shared" ca="1" si="170"/>
        <v>17.999999999999989</v>
      </c>
      <c r="AD364" s="323">
        <f t="shared" ca="1" si="171"/>
        <v>480.80783995661329</v>
      </c>
      <c r="AE364" s="324" t="e">
        <f t="shared" ca="1" si="150"/>
        <v>#N/A</v>
      </c>
      <c r="AG364" s="306">
        <f t="shared" ca="1" si="172"/>
        <v>6.5900729946089029</v>
      </c>
      <c r="AH364" s="304">
        <f t="shared" ca="1" si="173"/>
        <v>-0.42547364924056641</v>
      </c>
    </row>
    <row r="365" spans="1:34" x14ac:dyDescent="0.3">
      <c r="A365" s="347">
        <f t="shared" ca="1" si="151"/>
        <v>0.1</v>
      </c>
      <c r="B365" s="304">
        <f t="shared" ca="1" si="152"/>
        <v>18.099999999999991</v>
      </c>
      <c r="D365" s="306">
        <f t="shared" ca="1" si="153"/>
        <v>-0.30309022175407935</v>
      </c>
      <c r="E365" s="307">
        <f t="shared" ca="1" si="154"/>
        <v>-9.4869728742247137</v>
      </c>
      <c r="F365" s="304">
        <f t="shared" ca="1" si="155"/>
        <v>9.4918132092239613</v>
      </c>
      <c r="G365" s="306">
        <f t="shared" ca="1" si="156"/>
        <v>22.968567278953699</v>
      </c>
      <c r="H365" s="307">
        <f t="shared" ca="1" si="157"/>
        <v>-25.460411537455386</v>
      </c>
      <c r="I365" s="304">
        <f t="shared" ca="1" si="158"/>
        <v>34.289759965686748</v>
      </c>
      <c r="J365" s="306">
        <f t="shared" ca="1" si="159"/>
        <v>483.10621213561745</v>
      </c>
      <c r="K365" s="307">
        <f t="shared" ca="1" si="160"/>
        <v>1239.4542223244173</v>
      </c>
      <c r="L365" s="304">
        <f t="shared" ca="1" si="145"/>
        <v>1330.2775580463838</v>
      </c>
      <c r="M365" s="306">
        <f t="shared" ca="1" si="161"/>
        <v>-0.83680640651194826</v>
      </c>
      <c r="N365" s="304">
        <f t="shared" ca="1" si="162"/>
        <v>-47.945475362643322</v>
      </c>
      <c r="P365" s="310">
        <f t="shared" ca="1" si="163"/>
        <v>23</v>
      </c>
      <c r="Q365" s="304">
        <f t="shared" ca="1" si="164"/>
        <v>0</v>
      </c>
      <c r="R365" s="306">
        <f t="shared" ca="1" si="165"/>
        <v>0</v>
      </c>
      <c r="S365" s="307">
        <f t="shared" ca="1" si="166"/>
        <v>8.5499999999999989</v>
      </c>
      <c r="T365" s="304">
        <f t="shared" ca="1" si="146"/>
        <v>83.875499999999988</v>
      </c>
      <c r="U365" s="311">
        <f t="shared" ca="1" si="147"/>
        <v>0</v>
      </c>
      <c r="V365" s="306">
        <f t="shared" ca="1" si="148"/>
        <v>1.0820272657240393</v>
      </c>
      <c r="W365" s="304">
        <f t="shared" ca="1" si="149"/>
        <v>3.9425186432729937</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6.7110152449726614</v>
      </c>
      <c r="AH365" s="304">
        <f t="shared" ca="1" si="173"/>
        <v>-0.44295621285808845</v>
      </c>
    </row>
    <row r="366" spans="1:34" x14ac:dyDescent="0.3">
      <c r="A366" s="347">
        <f t="shared" ca="1" si="151"/>
        <v>0.1</v>
      </c>
      <c r="B366" s="304">
        <f t="shared" ca="1" si="152"/>
        <v>18.199999999999992</v>
      </c>
      <c r="D366" s="306">
        <f t="shared" ca="1" si="153"/>
        <v>-0.30887097699670629</v>
      </c>
      <c r="E366" s="307">
        <f t="shared" ca="1" si="154"/>
        <v>-9.4676198205659148</v>
      </c>
      <c r="F366" s="304">
        <f t="shared" ca="1" si="155"/>
        <v>9.4726567734296943</v>
      </c>
      <c r="G366" s="306">
        <f t="shared" ca="1" si="156"/>
        <v>22.937680181254027</v>
      </c>
      <c r="H366" s="307">
        <f t="shared" ca="1" si="157"/>
        <v>-26.407173519511979</v>
      </c>
      <c r="I366" s="304">
        <f t="shared" ca="1" si="158"/>
        <v>34.978221586969063</v>
      </c>
      <c r="J366" s="306">
        <f t="shared" ca="1" si="159"/>
        <v>485.40152450862786</v>
      </c>
      <c r="K366" s="307">
        <f t="shared" ca="1" si="160"/>
        <v>1236.860843071569</v>
      </c>
      <c r="L366" s="304">
        <f t="shared" ca="1" si="145"/>
        <v>1328.698380039282</v>
      </c>
      <c r="M366" s="306">
        <f t="shared" ca="1" si="161"/>
        <v>-0.85559378965811428</v>
      </c>
      <c r="N366" s="304">
        <f t="shared" ca="1" si="162"/>
        <v>-49.021913125013853</v>
      </c>
      <c r="P366" s="310">
        <f t="shared" ca="1" si="163"/>
        <v>23</v>
      </c>
      <c r="Q366" s="304">
        <f t="shared" ca="1" si="164"/>
        <v>0</v>
      </c>
      <c r="R366" s="306">
        <f t="shared" ca="1" si="165"/>
        <v>0</v>
      </c>
      <c r="S366" s="307">
        <f t="shared" ca="1" si="166"/>
        <v>8.5499999999999989</v>
      </c>
      <c r="T366" s="304">
        <f t="shared" ca="1" si="146"/>
        <v>83.875499999999988</v>
      </c>
      <c r="U366" s="311">
        <f t="shared" ca="1" si="147"/>
        <v>0</v>
      </c>
      <c r="V366" s="306">
        <f t="shared" ca="1" si="148"/>
        <v>1.0823089927029415</v>
      </c>
      <c r="W366" s="304">
        <f t="shared" ca="1" si="149"/>
        <v>4.1034899812210108</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6.8228874547453255</v>
      </c>
      <c r="AH366" s="304">
        <f t="shared" ca="1" si="173"/>
        <v>-0.4611132916108765</v>
      </c>
    </row>
    <row r="367" spans="1:34" x14ac:dyDescent="0.3">
      <c r="A367" s="347">
        <f t="shared" ca="1" si="151"/>
        <v>0.1</v>
      </c>
      <c r="B367" s="304">
        <f t="shared" ca="1" si="152"/>
        <v>18.299999999999994</v>
      </c>
      <c r="D367" s="306">
        <f t="shared" ca="1" si="153"/>
        <v>-0.31473064451685639</v>
      </c>
      <c r="E367" s="307">
        <f t="shared" ca="1" si="154"/>
        <v>-9.4476640237378149</v>
      </c>
      <c r="F367" s="304">
        <f t="shared" ca="1" si="155"/>
        <v>9.4529048913034028</v>
      </c>
      <c r="G367" s="306">
        <f t="shared" ca="1" si="156"/>
        <v>22.906207116802342</v>
      </c>
      <c r="H367" s="307">
        <f t="shared" ca="1" si="157"/>
        <v>-27.351939921885759</v>
      </c>
      <c r="I367" s="304">
        <f t="shared" ca="1" si="158"/>
        <v>35.6766442083374</v>
      </c>
      <c r="J367" s="306">
        <f t="shared" ca="1" si="159"/>
        <v>487.69371887353066</v>
      </c>
      <c r="K367" s="307">
        <f t="shared" ca="1" si="160"/>
        <v>1234.1728873994991</v>
      </c>
      <c r="L367" s="304">
        <f t="shared" ca="1" si="145"/>
        <v>1327.0372562293462</v>
      </c>
      <c r="M367" s="306">
        <f t="shared" ca="1" si="161"/>
        <v>-0.87362647131565097</v>
      </c>
      <c r="N367" s="304">
        <f t="shared" ca="1" si="162"/>
        <v>-50.055109677293679</v>
      </c>
      <c r="P367" s="310">
        <f t="shared" ca="1" si="163"/>
        <v>23</v>
      </c>
      <c r="Q367" s="304">
        <f t="shared" ca="1" si="164"/>
        <v>0</v>
      </c>
      <c r="R367" s="306">
        <f t="shared" ca="1" si="165"/>
        <v>0</v>
      </c>
      <c r="S367" s="307">
        <f t="shared" ca="1" si="166"/>
        <v>8.5499999999999989</v>
      </c>
      <c r="T367" s="304">
        <f t="shared" ca="1" si="146"/>
        <v>83.875499999999988</v>
      </c>
      <c r="U367" s="311">
        <f t="shared" ca="1" si="147"/>
        <v>0</v>
      </c>
      <c r="V367" s="306">
        <f t="shared" ca="1" si="148"/>
        <v>1.0826010664430887</v>
      </c>
      <c r="W367" s="304">
        <f t="shared" ca="1" si="149"/>
        <v>4.2701497574457177</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6.9262215564436458</v>
      </c>
      <c r="AH367" s="304">
        <f t="shared" ca="1" si="173"/>
        <v>-0.47994034868082003</v>
      </c>
    </row>
    <row r="368" spans="1:34" x14ac:dyDescent="0.3">
      <c r="A368" s="347">
        <f t="shared" ca="1" si="151"/>
        <v>0.1</v>
      </c>
      <c r="B368" s="304">
        <f t="shared" ca="1" si="152"/>
        <v>18.399999999999995</v>
      </c>
      <c r="D368" s="306">
        <f t="shared" ca="1" si="153"/>
        <v>-0.32066102580431821</v>
      </c>
      <c r="E368" s="307">
        <f t="shared" ca="1" si="154"/>
        <v>-9.4271037366262007</v>
      </c>
      <c r="F368" s="304">
        <f t="shared" ca="1" si="155"/>
        <v>9.432555770022331</v>
      </c>
      <c r="G368" s="306">
        <f t="shared" ca="1" si="156"/>
        <v>22.874141014221909</v>
      </c>
      <c r="H368" s="307">
        <f t="shared" ca="1" si="157"/>
        <v>-28.294650295548379</v>
      </c>
      <c r="I368" s="304">
        <f t="shared" ca="1" si="158"/>
        <v>36.384248823988173</v>
      </c>
      <c r="J368" s="306">
        <f t="shared" ca="1" si="159"/>
        <v>489.98273628008189</v>
      </c>
      <c r="K368" s="307">
        <f t="shared" ca="1" si="160"/>
        <v>1231.3905578886274</v>
      </c>
      <c r="L368" s="304">
        <f t="shared" ca="1" si="145"/>
        <v>1325.2946041955281</v>
      </c>
      <c r="M368" s="306">
        <f t="shared" ca="1" si="161"/>
        <v>-0.89093844063664995</v>
      </c>
      <c r="N368" s="304">
        <f t="shared" ca="1" si="162"/>
        <v>-51.047012454446879</v>
      </c>
      <c r="P368" s="310">
        <f t="shared" ca="1" si="163"/>
        <v>23</v>
      </c>
      <c r="Q368" s="304">
        <f t="shared" ca="1" si="164"/>
        <v>0</v>
      </c>
      <c r="R368" s="306">
        <f t="shared" ca="1" si="165"/>
        <v>0</v>
      </c>
      <c r="S368" s="307">
        <f t="shared" ca="1" si="166"/>
        <v>8.5499999999999989</v>
      </c>
      <c r="T368" s="304">
        <f t="shared" ca="1" si="146"/>
        <v>83.875499999999988</v>
      </c>
      <c r="U368" s="311">
        <f t="shared" ca="1" si="147"/>
        <v>0</v>
      </c>
      <c r="V368" s="306">
        <f t="shared" ca="1" si="148"/>
        <v>1.0829034727564659</v>
      </c>
      <c r="W368" s="304">
        <f t="shared" ca="1" si="149"/>
        <v>4.442457009074869</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7.0215249424070922</v>
      </c>
      <c r="AH368" s="304">
        <f t="shared" ca="1" si="173"/>
        <v>-0.49943272016908985</v>
      </c>
    </row>
    <row r="369" spans="1:34" x14ac:dyDescent="0.3">
      <c r="A369" s="347">
        <f t="shared" ca="1" si="151"/>
        <v>0.1</v>
      </c>
      <c r="B369" s="304">
        <f t="shared" ca="1" si="152"/>
        <v>18.499999999999996</v>
      </c>
      <c r="D369" s="306">
        <f t="shared" ca="1" si="153"/>
        <v>-0.3266543906450578</v>
      </c>
      <c r="E369" s="307">
        <f t="shared" ca="1" si="154"/>
        <v>-9.405937974455048</v>
      </c>
      <c r="F369" s="304">
        <f t="shared" ca="1" si="155"/>
        <v>9.411608378498503</v>
      </c>
      <c r="G369" s="306">
        <f t="shared" ca="1" si="156"/>
        <v>22.841475575157403</v>
      </c>
      <c r="H369" s="307">
        <f t="shared" ca="1" si="157"/>
        <v>-29.235244092993884</v>
      </c>
      <c r="I369" s="304">
        <f t="shared" ca="1" si="158"/>
        <v>37.100303282149135</v>
      </c>
      <c r="J369" s="306">
        <f t="shared" ca="1" si="159"/>
        <v>492.26851710955088</v>
      </c>
      <c r="K369" s="307">
        <f t="shared" ca="1" si="160"/>
        <v>1228.5140631692004</v>
      </c>
      <c r="L369" s="304">
        <f t="shared" ca="1" si="145"/>
        <v>1323.4708520937415</v>
      </c>
      <c r="M369" s="306">
        <f t="shared" ca="1" si="161"/>
        <v>-0.9075627239993963</v>
      </c>
      <c r="N369" s="304">
        <f t="shared" ca="1" si="162"/>
        <v>-51.999513728561794</v>
      </c>
      <c r="P369" s="310">
        <f t="shared" ca="1" si="163"/>
        <v>23</v>
      </c>
      <c r="Q369" s="304">
        <f t="shared" ca="1" si="164"/>
        <v>0</v>
      </c>
      <c r="R369" s="306">
        <f t="shared" ca="1" si="165"/>
        <v>0</v>
      </c>
      <c r="S369" s="307">
        <f t="shared" ca="1" si="166"/>
        <v>8.5499999999999989</v>
      </c>
      <c r="T369" s="304">
        <f t="shared" ca="1" si="146"/>
        <v>83.875499999999988</v>
      </c>
      <c r="U369" s="311">
        <f t="shared" ca="1" si="147"/>
        <v>0</v>
      </c>
      <c r="V369" s="306">
        <f t="shared" ca="1" si="148"/>
        <v>1.0832161970541994</v>
      </c>
      <c r="W369" s="304">
        <f t="shared" ca="1" si="149"/>
        <v>4.6203696889279886</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7.1092793023050085</v>
      </c>
      <c r="AH369" s="304">
        <f t="shared" ca="1" si="173"/>
        <v>-0.51958561509647594</v>
      </c>
    </row>
    <row r="370" spans="1:34" x14ac:dyDescent="0.3">
      <c r="A370" s="347">
        <f t="shared" ca="1" si="151"/>
        <v>0.1</v>
      </c>
      <c r="B370" s="304">
        <f t="shared" ca="1" si="152"/>
        <v>18.599999999999998</v>
      </c>
      <c r="D370" s="306">
        <f t="shared" ca="1" si="153"/>
        <v>-0.33270345258442119</v>
      </c>
      <c r="E370" s="307">
        <f t="shared" ca="1" si="154"/>
        <v>-9.3841664493222954</v>
      </c>
      <c r="F370" s="304">
        <f t="shared" ca="1" si="155"/>
        <v>9.3900623818986322</v>
      </c>
      <c r="G370" s="306">
        <f t="shared" ca="1" si="156"/>
        <v>22.808205229898963</v>
      </c>
      <c r="H370" s="307">
        <f t="shared" ca="1" si="157"/>
        <v>-30.173660737926113</v>
      </c>
      <c r="I370" s="304">
        <f t="shared" ca="1" si="158"/>
        <v>37.824119661092631</v>
      </c>
      <c r="J370" s="306">
        <f t="shared" ca="1" si="159"/>
        <v>494.55100114980371</v>
      </c>
      <c r="K370" s="307">
        <f t="shared" ca="1" si="160"/>
        <v>1225.5436179276544</v>
      </c>
      <c r="L370" s="304">
        <f t="shared" ca="1" si="145"/>
        <v>1321.5664388071746</v>
      </c>
      <c r="M370" s="306">
        <f t="shared" ca="1" si="161"/>
        <v>-0.92353126847413736</v>
      </c>
      <c r="N370" s="304">
        <f t="shared" ca="1" si="162"/>
        <v>-52.914443931931409</v>
      </c>
      <c r="P370" s="310">
        <f t="shared" ca="1" si="163"/>
        <v>23</v>
      </c>
      <c r="Q370" s="304">
        <f t="shared" ca="1" si="164"/>
        <v>0</v>
      </c>
      <c r="R370" s="306">
        <f t="shared" ca="1" si="165"/>
        <v>0</v>
      </c>
      <c r="S370" s="307">
        <f t="shared" ca="1" si="166"/>
        <v>8.5499999999999989</v>
      </c>
      <c r="T370" s="304">
        <f t="shared" ca="1" si="146"/>
        <v>83.875499999999988</v>
      </c>
      <c r="U370" s="311">
        <f t="shared" ca="1" si="147"/>
        <v>0</v>
      </c>
      <c r="V370" s="306">
        <f t="shared" ca="1" si="148"/>
        <v>1.0835392243435078</v>
      </c>
      <c r="W370" s="304">
        <f t="shared" ca="1" si="149"/>
        <v>4.8038446697841994</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7.1899401182952074</v>
      </c>
      <c r="AH370" s="304">
        <f t="shared" ca="1" si="173"/>
        <v>-0.54039411566409234</v>
      </c>
    </row>
    <row r="371" spans="1:34" x14ac:dyDescent="0.3">
      <c r="A371" s="347">
        <f t="shared" ca="1" si="151"/>
        <v>0.1</v>
      </c>
      <c r="B371" s="304">
        <f t="shared" ca="1" si="152"/>
        <v>18.7</v>
      </c>
      <c r="D371" s="306">
        <f t="shared" ca="1" si="153"/>
        <v>-0.3388013442764316</v>
      </c>
      <c r="E371" s="307">
        <f t="shared" ca="1" si="154"/>
        <v>-9.3617895109804916</v>
      </c>
      <c r="F371" s="304">
        <f t="shared" ca="1" si="155"/>
        <v>9.3679180824123289</v>
      </c>
      <c r="G371" s="306">
        <f t="shared" ca="1" si="156"/>
        <v>22.774325095471319</v>
      </c>
      <c r="H371" s="307">
        <f t="shared" ca="1" si="157"/>
        <v>-31.109839689024163</v>
      </c>
      <c r="I371" s="304">
        <f t="shared" ca="1" si="158"/>
        <v>38.555051666817903</v>
      </c>
      <c r="J371" s="306">
        <f t="shared" ca="1" si="159"/>
        <v>496.8301276660722</v>
      </c>
      <c r="K371" s="307">
        <f t="shared" ca="1" si="160"/>
        <v>1222.479442906307</v>
      </c>
      <c r="L371" s="304">
        <f t="shared" ca="1" si="145"/>
        <v>1319.5818140930862</v>
      </c>
      <c r="M371" s="306">
        <f t="shared" ca="1" si="161"/>
        <v>-0.93887486048751068</v>
      </c>
      <c r="N371" s="304">
        <f t="shared" ca="1" si="162"/>
        <v>-53.793566996868336</v>
      </c>
      <c r="P371" s="310">
        <f t="shared" ca="1" si="163"/>
        <v>23</v>
      </c>
      <c r="Q371" s="304">
        <f t="shared" ca="1" si="164"/>
        <v>0</v>
      </c>
      <c r="R371" s="306">
        <f t="shared" ca="1" si="165"/>
        <v>0</v>
      </c>
      <c r="S371" s="307">
        <f t="shared" ca="1" si="166"/>
        <v>8.5499999999999989</v>
      </c>
      <c r="T371" s="304">
        <f t="shared" ca="1" si="146"/>
        <v>83.875499999999988</v>
      </c>
      <c r="U371" s="311">
        <f t="shared" ca="1" si="147"/>
        <v>0</v>
      </c>
      <c r="V371" s="306">
        <f t="shared" ca="1" si="148"/>
        <v>1.0838725392253088</v>
      </c>
      <c r="W371" s="304">
        <f t="shared" ca="1" si="149"/>
        <v>4.9928377505185635</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7.2639366751580647</v>
      </c>
      <c r="AH371" s="304">
        <f t="shared" ca="1" si="173"/>
        <v>-0.56185317775253807</v>
      </c>
    </row>
    <row r="372" spans="1:34" x14ac:dyDescent="0.3">
      <c r="A372" s="347">
        <f t="shared" ca="1" si="151"/>
        <v>0.1</v>
      </c>
      <c r="B372" s="304">
        <f t="shared" ca="1" si="152"/>
        <v>18.8</v>
      </c>
      <c r="D372" s="306">
        <f t="shared" ca="1" si="153"/>
        <v>-0.34494159312429562</v>
      </c>
      <c r="E372" s="307">
        <f t="shared" ca="1" si="154"/>
        <v>-9.3388080933600399</v>
      </c>
      <c r="F372" s="304">
        <f t="shared" ca="1" si="155"/>
        <v>9.3451763657661431</v>
      </c>
      <c r="G372" s="306">
        <f t="shared" ca="1" si="156"/>
        <v>22.739830936158889</v>
      </c>
      <c r="H372" s="307">
        <f t="shared" ca="1" si="157"/>
        <v>-32.043720498360166</v>
      </c>
      <c r="I372" s="304">
        <f t="shared" ca="1" si="158"/>
        <v>39.292492086683893</v>
      </c>
      <c r="J372" s="306">
        <f t="shared" ca="1" si="159"/>
        <v>499.10583546765372</v>
      </c>
      <c r="K372" s="307">
        <f t="shared" ca="1" si="160"/>
        <v>1219.3217648969378</v>
      </c>
      <c r="L372" s="304">
        <f t="shared" ca="1" si="145"/>
        <v>1317.5174387268078</v>
      </c>
      <c r="M372" s="306">
        <f t="shared" ca="1" si="161"/>
        <v>-0.95362307355765019</v>
      </c>
      <c r="N372" s="304">
        <f t="shared" ca="1" si="162"/>
        <v>-54.638577361147014</v>
      </c>
      <c r="P372" s="310">
        <f t="shared" ca="1" si="163"/>
        <v>23</v>
      </c>
      <c r="Q372" s="304">
        <f t="shared" ca="1" si="164"/>
        <v>0</v>
      </c>
      <c r="R372" s="306">
        <f t="shared" ca="1" si="165"/>
        <v>0</v>
      </c>
      <c r="S372" s="307">
        <f t="shared" ca="1" si="166"/>
        <v>8.5499999999999989</v>
      </c>
      <c r="T372" s="304">
        <f t="shared" ca="1" si="146"/>
        <v>83.875499999999988</v>
      </c>
      <c r="U372" s="311">
        <f t="shared" ca="1" si="147"/>
        <v>0</v>
      </c>
      <c r="V372" s="306">
        <f t="shared" ca="1" si="148"/>
        <v>1.0842161258924194</v>
      </c>
      <c r="W372" s="304">
        <f t="shared" ca="1" si="149"/>
        <v>5.1873036639521146</v>
      </c>
      <c r="Y372" s="314" t="str">
        <f t="shared" ca="1" si="167"/>
        <v/>
      </c>
      <c r="Z372" s="315" t="str">
        <f t="shared" ca="1" si="168"/>
        <v/>
      </c>
      <c r="AA372" s="316" t="str">
        <f t="shared" ca="1" si="169"/>
        <v/>
      </c>
      <c r="AC372" s="310" t="e">
        <f t="shared" ca="1" si="170"/>
        <v>#N/A</v>
      </c>
      <c r="AD372" s="323" t="e">
        <f t="shared" ca="1" si="171"/>
        <v>#N/A</v>
      </c>
      <c r="AE372" s="324" t="e">
        <f t="shared" ca="1" si="150"/>
        <v>#N/A</v>
      </c>
      <c r="AG372" s="306">
        <f t="shared" ca="1" si="172"/>
        <v>7.3316724649473102</v>
      </c>
      <c r="AH372" s="304">
        <f t="shared" ca="1" si="173"/>
        <v>-0.58395763163959813</v>
      </c>
    </row>
    <row r="373" spans="1:34" x14ac:dyDescent="0.3">
      <c r="A373" s="347">
        <f t="shared" ca="1" si="151"/>
        <v>0.1</v>
      </c>
      <c r="B373" s="304">
        <f t="shared" ca="1" si="152"/>
        <v>18.900000000000002</v>
      </c>
      <c r="D373" s="306">
        <f t="shared" ca="1" si="153"/>
        <v>-0.35111809751659773</v>
      </c>
      <c r="E373" s="307">
        <f t="shared" ca="1" si="154"/>
        <v>-9.3152236663357399</v>
      </c>
      <c r="F373" s="304">
        <f t="shared" ca="1" si="155"/>
        <v>9.3218386529839243</v>
      </c>
      <c r="G373" s="306">
        <f t="shared" ca="1" si="156"/>
        <v>22.70471912640723</v>
      </c>
      <c r="H373" s="307">
        <f t="shared" ca="1" si="157"/>
        <v>-32.975242864993739</v>
      </c>
      <c r="I373" s="304">
        <f t="shared" ca="1" si="158"/>
        <v>40.03587032417758</v>
      </c>
      <c r="J373" s="306">
        <f t="shared" ca="1" si="159"/>
        <v>501.37806297078203</v>
      </c>
      <c r="K373" s="307">
        <f t="shared" ca="1" si="160"/>
        <v>1216.0708167287701</v>
      </c>
      <c r="L373" s="304">
        <f t="shared" ca="1" si="145"/>
        <v>1315.3737846436318</v>
      </c>
      <c r="M373" s="306">
        <f t="shared" ca="1" si="161"/>
        <v>-0.96780423976838004</v>
      </c>
      <c r="N373" s="304">
        <f t="shared" ca="1" si="162"/>
        <v>-55.451098333595361</v>
      </c>
      <c r="P373" s="310">
        <f t="shared" ca="1" si="163"/>
        <v>23</v>
      </c>
      <c r="Q373" s="304">
        <f t="shared" ca="1" si="164"/>
        <v>0</v>
      </c>
      <c r="R373" s="306">
        <f t="shared" ca="1" si="165"/>
        <v>0</v>
      </c>
      <c r="S373" s="307">
        <f t="shared" ca="1" si="166"/>
        <v>8.5499999999999989</v>
      </c>
      <c r="T373" s="304">
        <f t="shared" ca="1" si="146"/>
        <v>83.875499999999988</v>
      </c>
      <c r="U373" s="311">
        <f t="shared" ca="1" si="147"/>
        <v>0</v>
      </c>
      <c r="V373" s="306">
        <f t="shared" ca="1" si="148"/>
        <v>1.084569968128299</v>
      </c>
      <c r="W373" s="304">
        <f t="shared" ca="1" si="149"/>
        <v>5.3871960862750603</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7.393525885981461</v>
      </c>
      <c r="AH373" s="304">
        <f t="shared" ca="1" si="173"/>
        <v>-0.60670218291837608</v>
      </c>
    </row>
    <row r="374" spans="1:34" x14ac:dyDescent="0.3">
      <c r="A374" s="347">
        <f t="shared" ca="1" si="151"/>
        <v>0.1</v>
      </c>
      <c r="B374" s="304">
        <f t="shared" ca="1" si="152"/>
        <v>19.000000000000004</v>
      </c>
      <c r="D374" s="306">
        <f t="shared" ca="1" si="153"/>
        <v>-0.35732510388078803</v>
      </c>
      <c r="E374" s="307">
        <f t="shared" ca="1" si="154"/>
        <v>-9.291038192253005</v>
      </c>
      <c r="F374" s="304">
        <f t="shared" ca="1" si="155"/>
        <v>9.2979068569096448</v>
      </c>
      <c r="G374" s="306">
        <f t="shared" ca="1" si="156"/>
        <v>22.668986616019151</v>
      </c>
      <c r="H374" s="307">
        <f t="shared" ca="1" si="157"/>
        <v>-33.904346684219036</v>
      </c>
      <c r="I374" s="304">
        <f t="shared" ca="1" si="158"/>
        <v>40.78465003259155</v>
      </c>
      <c r="J374" s="306">
        <f t="shared" ca="1" si="159"/>
        <v>503.64674825790337</v>
      </c>
      <c r="K374" s="307">
        <f t="shared" ca="1" si="160"/>
        <v>1212.7268372513095</v>
      </c>
      <c r="L374" s="304">
        <f t="shared" ca="1" si="145"/>
        <v>1313.1513350792147</v>
      </c>
      <c r="M374" s="306">
        <f t="shared" ca="1" si="161"/>
        <v>-0.98144544039602466</v>
      </c>
      <c r="N374" s="304">
        <f t="shared" ca="1" si="162"/>
        <v>-56.232681557050604</v>
      </c>
      <c r="P374" s="310">
        <f t="shared" ca="1" si="163"/>
        <v>23</v>
      </c>
      <c r="Q374" s="304">
        <f t="shared" ca="1" si="164"/>
        <v>0</v>
      </c>
      <c r="R374" s="306">
        <f t="shared" ca="1" si="165"/>
        <v>0</v>
      </c>
      <c r="S374" s="307">
        <f t="shared" ca="1" si="166"/>
        <v>8.5499999999999989</v>
      </c>
      <c r="T374" s="304">
        <f t="shared" ca="1" si="146"/>
        <v>83.875499999999988</v>
      </c>
      <c r="U374" s="311">
        <f t="shared" ca="1" si="147"/>
        <v>0</v>
      </c>
      <c r="V374" s="306">
        <f t="shared" ca="1" si="148"/>
        <v>1.084934049306284</v>
      </c>
      <c r="W374" s="304">
        <f t="shared" ca="1" si="149"/>
        <v>5.5924676479155302</v>
      </c>
      <c r="Y374" s="314" t="str">
        <f t="shared" ca="1" si="167"/>
        <v/>
      </c>
      <c r="Z374" s="315" t="str">
        <f t="shared" ca="1" si="168"/>
        <v/>
      </c>
      <c r="AA374" s="316" t="str">
        <f t="shared" ca="1" si="169"/>
        <v/>
      </c>
      <c r="AC374" s="310">
        <f t="shared" ca="1" si="170"/>
        <v>19.000000000000004</v>
      </c>
      <c r="AD374" s="323">
        <f t="shared" ca="1" si="171"/>
        <v>503.64674825790337</v>
      </c>
      <c r="AE374" s="324" t="e">
        <f t="shared" ca="1" si="150"/>
        <v>#N/A</v>
      </c>
      <c r="AG374" s="306">
        <f t="shared" ca="1" si="172"/>
        <v>7.4498511540269483</v>
      </c>
      <c r="AH374" s="304">
        <f t="shared" ca="1" si="173"/>
        <v>-0.63008141359942238</v>
      </c>
    </row>
    <row r="375" spans="1:34" x14ac:dyDescent="0.3">
      <c r="A375" s="347">
        <f t="shared" ca="1" si="151"/>
        <v>0.1</v>
      </c>
      <c r="B375" s="304">
        <f t="shared" ca="1" si="152"/>
        <v>19.100000000000005</v>
      </c>
      <c r="D375" s="306">
        <f t="shared" ca="1" si="153"/>
        <v>-0.3635571847082425</v>
      </c>
      <c r="E375" s="307">
        <f t="shared" ca="1" si="154"/>
        <v>-9.2662540867540795</v>
      </c>
      <c r="F375" s="304">
        <f t="shared" ca="1" si="155"/>
        <v>9.2733833430328794</v>
      </c>
      <c r="G375" s="306">
        <f t="shared" ca="1" si="156"/>
        <v>22.632630897548328</v>
      </c>
      <c r="H375" s="307">
        <f t="shared" ca="1" si="157"/>
        <v>-34.830972092894442</v>
      </c>
      <c r="I375" s="304">
        <f t="shared" ca="1" si="158"/>
        <v>41.538326859427677</v>
      </c>
      <c r="J375" s="306">
        <f t="shared" ca="1" si="159"/>
        <v>505.91182913358176</v>
      </c>
      <c r="K375" s="307">
        <f t="shared" ca="1" si="160"/>
        <v>1209.2900713124538</v>
      </c>
      <c r="L375" s="304">
        <f t="shared" ca="1" si="145"/>
        <v>1310.8505847090912</v>
      </c>
      <c r="M375" s="306">
        <f t="shared" ca="1" si="161"/>
        <v>-0.99457251178268102</v>
      </c>
      <c r="N375" s="304">
        <f t="shared" ca="1" si="162"/>
        <v>-56.984807344872962</v>
      </c>
      <c r="P375" s="310">
        <f t="shared" ca="1" si="163"/>
        <v>23</v>
      </c>
      <c r="Q375" s="304">
        <f t="shared" ca="1" si="164"/>
        <v>0</v>
      </c>
      <c r="R375" s="306">
        <f t="shared" ca="1" si="165"/>
        <v>0</v>
      </c>
      <c r="S375" s="307">
        <f t="shared" ca="1" si="166"/>
        <v>8.5499999999999989</v>
      </c>
      <c r="T375" s="304">
        <f t="shared" ca="1" si="146"/>
        <v>83.875499999999988</v>
      </c>
      <c r="U375" s="311">
        <f t="shared" ca="1" si="147"/>
        <v>0</v>
      </c>
      <c r="V375" s="306">
        <f t="shared" ca="1" si="148"/>
        <v>1.085308352389271</v>
      </c>
      <c r="W375" s="304">
        <f t="shared" ca="1" si="149"/>
        <v>5.8030699457380157</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7.5009793592097607</v>
      </c>
      <c r="AH375" s="304">
        <f t="shared" ca="1" si="173"/>
        <v>-0.65408978338193347</v>
      </c>
    </row>
    <row r="376" spans="1:34" x14ac:dyDescent="0.3">
      <c r="A376" s="347">
        <f t="shared" ca="1" si="151"/>
        <v>0.1</v>
      </c>
      <c r="B376" s="304">
        <f t="shared" ca="1" si="152"/>
        <v>19.200000000000006</v>
      </c>
      <c r="D376" s="306">
        <f t="shared" ca="1" si="153"/>
        <v>-0.36980921765123514</v>
      </c>
      <c r="E376" s="307">
        <f t="shared" ca="1" si="154"/>
        <v>-9.2408741834737125</v>
      </c>
      <c r="F376" s="304">
        <f t="shared" ca="1" si="155"/>
        <v>9.2482708941861542</v>
      </c>
      <c r="G376" s="306">
        <f t="shared" ca="1" si="156"/>
        <v>22.595649975783203</v>
      </c>
      <c r="H376" s="307">
        <f t="shared" ca="1" si="157"/>
        <v>-35.755059511241811</v>
      </c>
      <c r="I376" s="304">
        <f t="shared" ca="1" si="158"/>
        <v>42.29642630862039</v>
      </c>
      <c r="J376" s="306">
        <f t="shared" ca="1" si="159"/>
        <v>508.17324317724831</v>
      </c>
      <c r="K376" s="307">
        <f t="shared" ca="1" si="160"/>
        <v>1205.7607697322471</v>
      </c>
      <c r="L376" s="304">
        <f t="shared" ca="1" si="145"/>
        <v>1308.4720397878527</v>
      </c>
      <c r="M376" s="306">
        <f t="shared" ca="1" si="161"/>
        <v>-1.007210063159276</v>
      </c>
      <c r="N376" s="304">
        <f t="shared" ca="1" si="162"/>
        <v>-57.708885702131596</v>
      </c>
      <c r="P376" s="310">
        <f t="shared" ca="1" si="163"/>
        <v>23</v>
      </c>
      <c r="Q376" s="304">
        <f t="shared" ca="1" si="164"/>
        <v>0</v>
      </c>
      <c r="R376" s="306">
        <f t="shared" ca="1" si="165"/>
        <v>0</v>
      </c>
      <c r="S376" s="307">
        <f t="shared" ca="1" si="166"/>
        <v>8.5499999999999989</v>
      </c>
      <c r="T376" s="304">
        <f t="shared" ca="1" si="146"/>
        <v>83.875499999999988</v>
      </c>
      <c r="U376" s="311">
        <f t="shared" ca="1" si="147"/>
        <v>0</v>
      </c>
      <c r="V376" s="306">
        <f t="shared" ca="1" si="148"/>
        <v>1.0856928599298115</v>
      </c>
      <c r="W376" s="304">
        <f t="shared" ca="1" si="149"/>
        <v>6.018953556466105</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7.5472196156056137</v>
      </c>
      <c r="AH376" s="304">
        <f t="shared" ca="1" si="173"/>
        <v>-0.67872163108046979</v>
      </c>
    </row>
    <row r="377" spans="1:34" x14ac:dyDescent="0.3">
      <c r="A377" s="347">
        <f t="shared" ca="1" si="151"/>
        <v>0.1</v>
      </c>
      <c r="B377" s="304">
        <f t="shared" ca="1" si="152"/>
        <v>19.300000000000008</v>
      </c>
      <c r="D377" s="306">
        <f t="shared" ca="1" si="153"/>
        <v>-0.37607636574954983</v>
      </c>
      <c r="E377" s="307">
        <f t="shared" ca="1" si="154"/>
        <v>-9.2149017022055997</v>
      </c>
      <c r="F377" s="304">
        <f t="shared" ca="1" si="155"/>
        <v>9.2225726787153626</v>
      </c>
      <c r="G377" s="306">
        <f t="shared" ca="1" si="156"/>
        <v>22.558042339208249</v>
      </c>
      <c r="H377" s="307">
        <f t="shared" ca="1" si="157"/>
        <v>-36.676549681462369</v>
      </c>
      <c r="I377" s="304">
        <f t="shared" ca="1" si="158"/>
        <v>43.05850172398349</v>
      </c>
      <c r="J377" s="306">
        <f t="shared" ca="1" si="159"/>
        <v>510.43092779299786</v>
      </c>
      <c r="K377" s="307">
        <f t="shared" ca="1" si="160"/>
        <v>1202.1391892726119</v>
      </c>
      <c r="L377" s="304">
        <f t="shared" ca="1" si="145"/>
        <v>1306.0162182885147</v>
      </c>
      <c r="M377" s="306">
        <f t="shared" ca="1" si="161"/>
        <v>-1.0193815036594998</v>
      </c>
      <c r="N377" s="304">
        <f t="shared" ca="1" si="162"/>
        <v>-58.406257873389016</v>
      </c>
      <c r="P377" s="310">
        <f t="shared" ca="1" si="163"/>
        <v>23</v>
      </c>
      <c r="Q377" s="304">
        <f t="shared" ca="1" si="164"/>
        <v>0</v>
      </c>
      <c r="R377" s="306">
        <f t="shared" ca="1" si="165"/>
        <v>0</v>
      </c>
      <c r="S377" s="307">
        <f t="shared" ca="1" si="166"/>
        <v>8.5499999999999989</v>
      </c>
      <c r="T377" s="304">
        <f t="shared" ca="1" si="146"/>
        <v>83.875499999999988</v>
      </c>
      <c r="U377" s="311">
        <f t="shared" ca="1" si="147"/>
        <v>0</v>
      </c>
      <c r="V377" s="306">
        <f t="shared" ca="1" si="148"/>
        <v>1.0860875540705786</v>
      </c>
      <c r="W377" s="304">
        <f t="shared" ca="1" si="149"/>
        <v>6.2400680512336351</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7.588860261760324</v>
      </c>
      <c r="AH377" s="304">
        <f t="shared" ca="1" si="173"/>
        <v>-0.70397117619486616</v>
      </c>
    </row>
    <row r="378" spans="1:34" x14ac:dyDescent="0.3">
      <c r="A378" s="347">
        <f t="shared" ca="1" si="151"/>
        <v>0.1</v>
      </c>
      <c r="B378" s="304">
        <f t="shared" ca="1" si="152"/>
        <v>19.400000000000009</v>
      </c>
      <c r="D378" s="306">
        <f t="shared" ca="1" si="153"/>
        <v>-0.3823540588113199</v>
      </c>
      <c r="E378" s="307">
        <f t="shared" ca="1" si="154"/>
        <v>-9.1883402201738065</v>
      </c>
      <c r="F378" s="304">
        <f t="shared" ca="1" si="155"/>
        <v>9.1962922217572629</v>
      </c>
      <c r="G378" s="306">
        <f t="shared" ca="1" si="156"/>
        <v>22.519806933327118</v>
      </c>
      <c r="H378" s="307">
        <f t="shared" ca="1" si="157"/>
        <v>-37.595383703479747</v>
      </c>
      <c r="I378" s="304">
        <f t="shared" ca="1" si="158"/>
        <v>43.824132394449052</v>
      </c>
      <c r="J378" s="306">
        <f t="shared" ca="1" si="159"/>
        <v>512.68482025662468</v>
      </c>
      <c r="K378" s="307">
        <f t="shared" ca="1" si="160"/>
        <v>1198.4255926033647</v>
      </c>
      <c r="L378" s="304">
        <f t="shared" ca="1" si="145"/>
        <v>1303.4836500425672</v>
      </c>
      <c r="M378" s="306">
        <f t="shared" ca="1" si="161"/>
        <v>-1.0311090762343154</v>
      </c>
      <c r="N378" s="304">
        <f t="shared" ca="1" si="162"/>
        <v>-59.078198285859322</v>
      </c>
      <c r="P378" s="310">
        <f t="shared" ca="1" si="163"/>
        <v>23</v>
      </c>
      <c r="Q378" s="304">
        <f t="shared" ca="1" si="164"/>
        <v>0</v>
      </c>
      <c r="R378" s="306">
        <f t="shared" ca="1" si="165"/>
        <v>0</v>
      </c>
      <c r="S378" s="307">
        <f t="shared" ca="1" si="166"/>
        <v>8.5499999999999989</v>
      </c>
      <c r="T378" s="304">
        <f t="shared" ca="1" si="146"/>
        <v>83.875499999999988</v>
      </c>
      <c r="U378" s="311">
        <f t="shared" ca="1" si="147"/>
        <v>0</v>
      </c>
      <c r="V378" s="306">
        <f t="shared" ca="1" si="148"/>
        <v>1.0864924165451828</v>
      </c>
      <c r="W378" s="304">
        <f t="shared" ca="1" si="149"/>
        <v>6.4663620111768427</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7.6261700797928009</v>
      </c>
      <c r="AH378" s="304">
        <f t="shared" ca="1" si="173"/>
        <v>-0.72983252061212112</v>
      </c>
    </row>
    <row r="379" spans="1:34" x14ac:dyDescent="0.3">
      <c r="A379" s="347">
        <f t="shared" ca="1" si="151"/>
        <v>0.1</v>
      </c>
      <c r="B379" s="304">
        <f t="shared" ca="1" si="152"/>
        <v>19.500000000000011</v>
      </c>
      <c r="D379" s="306">
        <f t="shared" ca="1" si="153"/>
        <v>-0.38863797594734822</v>
      </c>
      <c r="E379" s="307">
        <f t="shared" ca="1" si="154"/>
        <v>-9.1611936460760042</v>
      </c>
      <c r="F379" s="304">
        <f t="shared" ca="1" si="155"/>
        <v>9.1694333792907727</v>
      </c>
      <c r="G379" s="306">
        <f t="shared" ca="1" si="156"/>
        <v>22.480943135732382</v>
      </c>
      <c r="H379" s="307">
        <f t="shared" ca="1" si="157"/>
        <v>-38.51150306808735</v>
      </c>
      <c r="I379" s="304">
        <f t="shared" ca="1" si="158"/>
        <v>44.592921779530599</v>
      </c>
      <c r="J379" s="306">
        <f t="shared" ca="1" si="159"/>
        <v>514.93485776007765</v>
      </c>
      <c r="K379" s="307">
        <f t="shared" ca="1" si="160"/>
        <v>1194.6202482647864</v>
      </c>
      <c r="L379" s="304">
        <f t="shared" ca="1" si="145"/>
        <v>1300.8748768811747</v>
      </c>
      <c r="M379" s="306">
        <f t="shared" ca="1" si="161"/>
        <v>-1.042413896580823</v>
      </c>
      <c r="N379" s="304">
        <f t="shared" ca="1" si="162"/>
        <v>-59.725916779867831</v>
      </c>
      <c r="P379" s="310">
        <f t="shared" ca="1" si="163"/>
        <v>23</v>
      </c>
      <c r="Q379" s="304">
        <f t="shared" ca="1" si="164"/>
        <v>0</v>
      </c>
      <c r="R379" s="306">
        <f t="shared" ca="1" si="165"/>
        <v>0</v>
      </c>
      <c r="S379" s="307">
        <f t="shared" ca="1" si="166"/>
        <v>8.5499999999999989</v>
      </c>
      <c r="T379" s="304">
        <f t="shared" ca="1" si="146"/>
        <v>83.875499999999988</v>
      </c>
      <c r="U379" s="311">
        <f t="shared" ca="1" si="147"/>
        <v>0</v>
      </c>
      <c r="V379" s="306">
        <f t="shared" ca="1" si="148"/>
        <v>1.086907428679297</v>
      </c>
      <c r="W379" s="304">
        <f t="shared" ca="1" si="149"/>
        <v>6.6977830439875676</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7.6593995084619566</v>
      </c>
      <c r="AH379" s="304">
        <f t="shared" ca="1" si="173"/>
        <v>-0.75629965043004022</v>
      </c>
    </row>
    <row r="380" spans="1:34" x14ac:dyDescent="0.3">
      <c r="A380" s="347">
        <f t="shared" ca="1" si="151"/>
        <v>0.1</v>
      </c>
      <c r="B380" s="304">
        <f t="shared" ca="1" si="152"/>
        <v>19.600000000000012</v>
      </c>
      <c r="D380" s="306">
        <f t="shared" ca="1" si="153"/>
        <v>-0.39492402923918712</v>
      </c>
      <c r="E380" s="307">
        <f t="shared" ca="1" si="154"/>
        <v>-9.1334661965968778</v>
      </c>
      <c r="F380" s="304">
        <f t="shared" ca="1" si="155"/>
        <v>9.1420003146602635</v>
      </c>
      <c r="G380" s="306">
        <f t="shared" ca="1" si="156"/>
        <v>22.441450732808462</v>
      </c>
      <c r="H380" s="307">
        <f t="shared" ca="1" si="157"/>
        <v>-39.424849687747042</v>
      </c>
      <c r="I380" s="304">
        <f t="shared" ca="1" si="158"/>
        <v>45.364495851872064</v>
      </c>
      <c r="J380" s="306">
        <f t="shared" ca="1" si="159"/>
        <v>517.18097745350474</v>
      </c>
      <c r="K380" s="307">
        <f t="shared" ca="1" si="160"/>
        <v>1190.7234306269947</v>
      </c>
      <c r="L380" s="304">
        <f t="shared" ca="1" si="145"/>
        <v>1298.1904527779743</v>
      </c>
      <c r="M380" s="306">
        <f t="shared" ca="1" si="161"/>
        <v>-1.0533159955445359</v>
      </c>
      <c r="N380" s="304">
        <f t="shared" ca="1" si="162"/>
        <v>-60.350561038322532</v>
      </c>
      <c r="P380" s="310">
        <f t="shared" ca="1" si="163"/>
        <v>23</v>
      </c>
      <c r="Q380" s="304">
        <f t="shared" ca="1" si="164"/>
        <v>0</v>
      </c>
      <c r="R380" s="306">
        <f t="shared" ca="1" si="165"/>
        <v>0</v>
      </c>
      <c r="S380" s="307">
        <f t="shared" ca="1" si="166"/>
        <v>8.5499999999999989</v>
      </c>
      <c r="T380" s="304">
        <f t="shared" ca="1" si="146"/>
        <v>83.875499999999988</v>
      </c>
      <c r="U380" s="311">
        <f t="shared" ca="1" si="147"/>
        <v>0</v>
      </c>
      <c r="V380" s="306">
        <f t="shared" ca="1" si="148"/>
        <v>1.0873325713920743</v>
      </c>
      <c r="W380" s="304">
        <f t="shared" ca="1" si="149"/>
        <v>6.9342778013544404</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7.6887818318654544</v>
      </c>
      <c r="AH380" s="304">
        <f t="shared" ca="1" si="173"/>
        <v>-0.78336643789328286</v>
      </c>
    </row>
    <row r="381" spans="1:34" x14ac:dyDescent="0.3">
      <c r="A381" s="347">
        <f t="shared" ca="1" si="151"/>
        <v>0.1</v>
      </c>
      <c r="B381" s="304">
        <f t="shared" ca="1" si="152"/>
        <v>19.700000000000014</v>
      </c>
      <c r="D381" s="306">
        <f t="shared" ca="1" si="153"/>
        <v>-0.40120834850745096</v>
      </c>
      <c r="E381" s="307">
        <f t="shared" ca="1" si="154"/>
        <v>-9.1051623751199458</v>
      </c>
      <c r="F381" s="304">
        <f t="shared" ca="1" si="155"/>
        <v>9.1139974772989696</v>
      </c>
      <c r="G381" s="306">
        <f t="shared" ca="1" si="156"/>
        <v>22.401329897957716</v>
      </c>
      <c r="H381" s="307">
        <f t="shared" ca="1" si="157"/>
        <v>-40.335365925259033</v>
      </c>
      <c r="I381" s="304">
        <f t="shared" ca="1" si="158"/>
        <v>46.138501552626103</v>
      </c>
      <c r="J381" s="306">
        <f t="shared" ca="1" si="159"/>
        <v>519.42311648504301</v>
      </c>
      <c r="K381" s="307">
        <f t="shared" ca="1" si="160"/>
        <v>1186.7354198463445</v>
      </c>
      <c r="L381" s="304">
        <f t="shared" ca="1" si="145"/>
        <v>1295.430943993895</v>
      </c>
      <c r="M381" s="306">
        <f t="shared" ca="1" si="161"/>
        <v>-1.0638343637468688</v>
      </c>
      <c r="N381" s="304">
        <f t="shared" ca="1" si="162"/>
        <v>-60.953219143680812</v>
      </c>
      <c r="P381" s="310">
        <f t="shared" ca="1" si="163"/>
        <v>23</v>
      </c>
      <c r="Q381" s="304">
        <f t="shared" ca="1" si="164"/>
        <v>0</v>
      </c>
      <c r="R381" s="306">
        <f t="shared" ca="1" si="165"/>
        <v>0</v>
      </c>
      <c r="S381" s="307">
        <f t="shared" ca="1" si="166"/>
        <v>8.5499999999999989</v>
      </c>
      <c r="T381" s="304">
        <f t="shared" ca="1" si="146"/>
        <v>83.875499999999988</v>
      </c>
      <c r="U381" s="311">
        <f t="shared" ca="1" si="147"/>
        <v>0</v>
      </c>
      <c r="V381" s="306">
        <f t="shared" ca="1" si="148"/>
        <v>1.0877678251978367</v>
      </c>
      <c r="W381" s="304">
        <f t="shared" ca="1" si="149"/>
        <v>7.175791997224894</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7.7145343304982461</v>
      </c>
      <c r="AH381" s="304">
        <f t="shared" ca="1" si="173"/>
        <v>-0.81102664343326802</v>
      </c>
    </row>
    <row r="382" spans="1:34" x14ac:dyDescent="0.3">
      <c r="A382" s="347">
        <f t="shared" ca="1" si="151"/>
        <v>0.1</v>
      </c>
      <c r="B382" s="304">
        <f t="shared" ca="1" si="152"/>
        <v>19.800000000000015</v>
      </c>
      <c r="D382" s="306">
        <f t="shared" ca="1" si="153"/>
        <v>-0.40748726713710465</v>
      </c>
      <c r="E382" s="307">
        <f t="shared" ca="1" si="154"/>
        <v>-9.0762869523939589</v>
      </c>
      <c r="F382" s="304">
        <f t="shared" ca="1" si="155"/>
        <v>9.0854295834085725</v>
      </c>
      <c r="G382" s="306">
        <f t="shared" ca="1" si="156"/>
        <v>22.360581171244004</v>
      </c>
      <c r="H382" s="307">
        <f t="shared" ca="1" si="157"/>
        <v>-41.242994620498429</v>
      </c>
      <c r="I382" s="304">
        <f t="shared" ca="1" si="158"/>
        <v>46.914605354646795</v>
      </c>
      <c r="J382" s="306">
        <f t="shared" ca="1" si="159"/>
        <v>521.66121203850309</v>
      </c>
      <c r="K382" s="307">
        <f t="shared" ca="1" si="160"/>
        <v>1182.6565018190565</v>
      </c>
      <c r="L382" s="304">
        <f t="shared" ca="1" si="145"/>
        <v>1292.5969292244074</v>
      </c>
      <c r="M382" s="306">
        <f t="shared" ca="1" si="161"/>
        <v>-1.0739869974360532</v>
      </c>
      <c r="N382" s="304">
        <f t="shared" ca="1" si="162"/>
        <v>-61.534922205013416</v>
      </c>
      <c r="P382" s="310">
        <f t="shared" ca="1" si="163"/>
        <v>23</v>
      </c>
      <c r="Q382" s="304">
        <f t="shared" ca="1" si="164"/>
        <v>0</v>
      </c>
      <c r="R382" s="306">
        <f t="shared" ca="1" si="165"/>
        <v>0</v>
      </c>
      <c r="S382" s="307">
        <f t="shared" ca="1" si="166"/>
        <v>8.5499999999999989</v>
      </c>
      <c r="T382" s="304">
        <f t="shared" ca="1" si="146"/>
        <v>83.875499999999988</v>
      </c>
      <c r="U382" s="311">
        <f t="shared" ca="1" si="147"/>
        <v>0</v>
      </c>
      <c r="V382" s="306">
        <f t="shared" ca="1" si="148"/>
        <v>1.0882131702080018</v>
      </c>
      <c r="W382" s="304">
        <f t="shared" ca="1" si="149"/>
        <v>7.4222704268261408</v>
      </c>
      <c r="Y382" s="314" t="str">
        <f t="shared" ca="1" si="167"/>
        <v/>
      </c>
      <c r="Z382" s="315" t="str">
        <f t="shared" ca="1" si="168"/>
        <v/>
      </c>
      <c r="AA382" s="316" t="str">
        <f t="shared" ca="1" si="169"/>
        <v/>
      </c>
      <c r="AC382" s="310" t="e">
        <f t="shared" ca="1" si="170"/>
        <v>#N/A</v>
      </c>
      <c r="AD382" s="323" t="e">
        <f t="shared" ca="1" si="171"/>
        <v>#N/A</v>
      </c>
      <c r="AE382" s="324" t="e">
        <f t="shared" ca="1" si="150"/>
        <v>#N/A</v>
      </c>
      <c r="AG382" s="306">
        <f t="shared" ca="1" si="172"/>
        <v>7.7368593854299332</v>
      </c>
      <c r="AH382" s="304">
        <f t="shared" ca="1" si="173"/>
        <v>-0.83927391780408123</v>
      </c>
    </row>
    <row r="383" spans="1:34" x14ac:dyDescent="0.3">
      <c r="A383" s="347">
        <f t="shared" ca="1" si="151"/>
        <v>0.1</v>
      </c>
      <c r="B383" s="304">
        <f t="shared" ca="1" si="152"/>
        <v>19.900000000000016</v>
      </c>
      <c r="D383" s="306">
        <f t="shared" ca="1" si="153"/>
        <v>-0.41375730891000206</v>
      </c>
      <c r="E383" s="307">
        <f t="shared" ca="1" si="154"/>
        <v>-9.0468449489357461</v>
      </c>
      <c r="F383" s="304">
        <f t="shared" ca="1" si="155"/>
        <v>9.0563015983767166</v>
      </c>
      <c r="G383" s="306">
        <f t="shared" ca="1" si="156"/>
        <v>22.319205440353002</v>
      </c>
      <c r="H383" s="307">
        <f t="shared" ca="1" si="157"/>
        <v>-42.147679115392002</v>
      </c>
      <c r="I383" s="304">
        <f t="shared" ca="1" si="158"/>
        <v>47.692491928004074</v>
      </c>
      <c r="J383" s="306">
        <f t="shared" ca="1" si="159"/>
        <v>523.895201369083</v>
      </c>
      <c r="K383" s="307">
        <f t="shared" ca="1" si="160"/>
        <v>1178.4869681322621</v>
      </c>
      <c r="L383" s="304">
        <f t="shared" ca="1" si="145"/>
        <v>1289.6889997495998</v>
      </c>
      <c r="M383" s="306">
        <f t="shared" ca="1" si="161"/>
        <v>-1.0837909447657883</v>
      </c>
      <c r="N383" s="304">
        <f t="shared" ca="1" si="162"/>
        <v>-62.09664700957579</v>
      </c>
      <c r="P383" s="310">
        <f t="shared" ca="1" si="163"/>
        <v>23</v>
      </c>
      <c r="Q383" s="304">
        <f t="shared" ca="1" si="164"/>
        <v>0</v>
      </c>
      <c r="R383" s="306">
        <f t="shared" ca="1" si="165"/>
        <v>0</v>
      </c>
      <c r="S383" s="307">
        <f t="shared" ca="1" si="166"/>
        <v>8.5499999999999989</v>
      </c>
      <c r="T383" s="304">
        <f t="shared" ca="1" si="146"/>
        <v>83.875499999999988</v>
      </c>
      <c r="U383" s="311">
        <f t="shared" ca="1" si="147"/>
        <v>0</v>
      </c>
      <c r="V383" s="306">
        <f t="shared" ca="1" si="148"/>
        <v>1.0886685861332486</v>
      </c>
      <c r="W383" s="304">
        <f t="shared" ca="1" si="149"/>
        <v>7.6736569863881297</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7.7559455295369419</v>
      </c>
      <c r="AH383" s="304">
        <f t="shared" ca="1" si="173"/>
        <v>-0.86810180430715111</v>
      </c>
    </row>
    <row r="384" spans="1:34" x14ac:dyDescent="0.3">
      <c r="A384" s="347">
        <f t="shared" ca="1" si="151"/>
        <v>0.1</v>
      </c>
      <c r="B384" s="304">
        <f t="shared" ca="1" si="152"/>
        <v>20.000000000000018</v>
      </c>
      <c r="D384" s="306">
        <f t="shared" ca="1" si="153"/>
        <v>-0.42001517579101627</v>
      </c>
      <c r="E384" s="307">
        <f t="shared" ca="1" si="154"/>
        <v>-9.0168416189750022</v>
      </c>
      <c r="F384" s="304">
        <f t="shared" ca="1" si="155"/>
        <v>9.0266187207378223</v>
      </c>
      <c r="G384" s="306">
        <f t="shared" ca="1" si="156"/>
        <v>22.2772039227739</v>
      </c>
      <c r="H384" s="307">
        <f t="shared" ca="1" si="157"/>
        <v>-43.049363277289501</v>
      </c>
      <c r="I384" s="304">
        <f t="shared" ca="1" si="158"/>
        <v>48.471862902068196</v>
      </c>
      <c r="J384" s="306">
        <f t="shared" ca="1" si="159"/>
        <v>526.12502183723939</v>
      </c>
      <c r="K384" s="307">
        <f t="shared" ca="1" si="160"/>
        <v>1174.2271160126279</v>
      </c>
      <c r="L384" s="304">
        <f t="shared" ca="1" si="145"/>
        <v>1286.7077595874555</v>
      </c>
      <c r="M384" s="306">
        <f t="shared" ca="1" si="161"/>
        <v>-1.0932623518772602</v>
      </c>
      <c r="N384" s="304">
        <f t="shared" ca="1" si="162"/>
        <v>-62.639318663113322</v>
      </c>
      <c r="P384" s="310">
        <f t="shared" ca="1" si="163"/>
        <v>23</v>
      </c>
      <c r="Q384" s="304">
        <f t="shared" ca="1" si="164"/>
        <v>0</v>
      </c>
      <c r="R384" s="306">
        <f t="shared" ca="1" si="165"/>
        <v>0</v>
      </c>
      <c r="S384" s="307">
        <f t="shared" ca="1" si="166"/>
        <v>8.5499999999999989</v>
      </c>
      <c r="T384" s="304">
        <f t="shared" ca="1" si="146"/>
        <v>83.875499999999988</v>
      </c>
      <c r="U384" s="311">
        <f t="shared" ca="1" si="147"/>
        <v>0</v>
      </c>
      <c r="V384" s="306">
        <f t="shared" ca="1" si="148"/>
        <v>1.0891340522858863</v>
      </c>
      <c r="W384" s="304">
        <f t="shared" ca="1" si="149"/>
        <v>7.9298946935155827</v>
      </c>
      <c r="Y384" s="314" t="str">
        <f t="shared" ca="1" si="167"/>
        <v/>
      </c>
      <c r="Z384" s="315" t="str">
        <f t="shared" ca="1" si="168"/>
        <v/>
      </c>
      <c r="AA384" s="316" t="str">
        <f t="shared" ca="1" si="169"/>
        <v/>
      </c>
      <c r="AC384" s="310">
        <f t="shared" ca="1" si="170"/>
        <v>20.000000000000018</v>
      </c>
      <c r="AD384" s="323">
        <f t="shared" ca="1" si="171"/>
        <v>526.12502183723939</v>
      </c>
      <c r="AE384" s="324" t="e">
        <f t="shared" ca="1" si="150"/>
        <v>#N/A</v>
      </c>
      <c r="AG384" s="306">
        <f t="shared" ca="1" si="172"/>
        <v>7.7719684421999693</v>
      </c>
      <c r="AH384" s="304">
        <f t="shared" ca="1" si="173"/>
        <v>-0.897503741098027</v>
      </c>
    </row>
    <row r="385" spans="1:34" x14ac:dyDescent="0.3">
      <c r="A385" s="347">
        <f t="shared" ca="1" si="151"/>
        <v>0.1</v>
      </c>
      <c r="B385" s="304">
        <f t="shared" ca="1" si="152"/>
        <v>20.100000000000019</v>
      </c>
      <c r="D385" s="306">
        <f t="shared" ca="1" si="153"/>
        <v>-0.42625773661211042</v>
      </c>
      <c r="E385" s="307">
        <f t="shared" ca="1" si="154"/>
        <v>-8.9862824357678637</v>
      </c>
      <c r="F385" s="304">
        <f t="shared" ca="1" si="155"/>
        <v>8.9963863675039928</v>
      </c>
      <c r="G385" s="306">
        <f t="shared" ca="1" si="156"/>
        <v>22.234578149112689</v>
      </c>
      <c r="H385" s="307">
        <f t="shared" ca="1" si="157"/>
        <v>-43.947991520866289</v>
      </c>
      <c r="I385" s="304">
        <f t="shared" ca="1" si="158"/>
        <v>49.252435718318893</v>
      </c>
      <c r="J385" s="306">
        <f t="shared" ca="1" si="159"/>
        <v>528.35061094083369</v>
      </c>
      <c r="K385" s="307">
        <f t="shared" ca="1" si="160"/>
        <v>1169.8772482727202</v>
      </c>
      <c r="L385" s="304">
        <f t="shared" ca="1" si="145"/>
        <v>1283.6538256507104</v>
      </c>
      <c r="M385" s="306">
        <f t="shared" ca="1" si="161"/>
        <v>-1.1024165083017372</v>
      </c>
      <c r="N385" s="304">
        <f t="shared" ca="1" si="162"/>
        <v>-63.163813191238425</v>
      </c>
      <c r="P385" s="310">
        <f t="shared" ca="1" si="163"/>
        <v>23</v>
      </c>
      <c r="Q385" s="304">
        <f t="shared" ca="1" si="164"/>
        <v>0</v>
      </c>
      <c r="R385" s="306">
        <f t="shared" ca="1" si="165"/>
        <v>0</v>
      </c>
      <c r="S385" s="307">
        <f t="shared" ca="1" si="166"/>
        <v>8.5499999999999989</v>
      </c>
      <c r="T385" s="304">
        <f t="shared" ca="1" si="146"/>
        <v>83.875499999999988</v>
      </c>
      <c r="U385" s="311">
        <f t="shared" ca="1" si="147"/>
        <v>0</v>
      </c>
      <c r="V385" s="306">
        <f t="shared" ca="1" si="148"/>
        <v>1.0896095475824252</v>
      </c>
      <c r="W385" s="304">
        <f t="shared" ca="1" si="149"/>
        <v>8.1909257081600551</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7.785091885779936</v>
      </c>
      <c r="AH385" s="304">
        <f t="shared" ca="1" si="173"/>
        <v>-0.92747306356907411</v>
      </c>
    </row>
    <row r="386" spans="1:34" x14ac:dyDescent="0.3">
      <c r="A386" s="347">
        <f t="shared" ca="1" si="151"/>
        <v>0.1</v>
      </c>
      <c r="B386" s="304">
        <f t="shared" ca="1" si="152"/>
        <v>20.200000000000021</v>
      </c>
      <c r="D386" s="306">
        <f t="shared" ca="1" si="153"/>
        <v>-0.43248201659819835</v>
      </c>
      <c r="E386" s="307">
        <f t="shared" ca="1" si="154"/>
        <v>-8.9551730781254655</v>
      </c>
      <c r="F386" s="304">
        <f t="shared" ca="1" si="155"/>
        <v>8.9656101607120959</v>
      </c>
      <c r="G386" s="306">
        <f t="shared" ca="1" si="156"/>
        <v>22.191329947452868</v>
      </c>
      <c r="H386" s="307">
        <f t="shared" ca="1" si="157"/>
        <v>-44.843508828678836</v>
      </c>
      <c r="I386" s="304">
        <f t="shared" ca="1" si="158"/>
        <v>50.033942568065882</v>
      </c>
      <c r="J386" s="306">
        <f t="shared" ca="1" si="159"/>
        <v>530.571906345662</v>
      </c>
      <c r="K386" s="307">
        <f t="shared" ca="1" si="160"/>
        <v>1165.437673255243</v>
      </c>
      <c r="L386" s="304">
        <f t="shared" ca="1" si="145"/>
        <v>1280.5278279076424</v>
      </c>
      <c r="M386" s="306">
        <f t="shared" ca="1" si="161"/>
        <v>-1.111267891317276</v>
      </c>
      <c r="N386" s="304">
        <f t="shared" ca="1" si="162"/>
        <v>-63.670960080882573</v>
      </c>
      <c r="P386" s="310">
        <f t="shared" ca="1" si="163"/>
        <v>23</v>
      </c>
      <c r="Q386" s="304">
        <f t="shared" ca="1" si="164"/>
        <v>0</v>
      </c>
      <c r="R386" s="306">
        <f t="shared" ca="1" si="165"/>
        <v>0</v>
      </c>
      <c r="S386" s="307">
        <f t="shared" ca="1" si="166"/>
        <v>8.5499999999999989</v>
      </c>
      <c r="T386" s="304">
        <f t="shared" ca="1" si="146"/>
        <v>83.875499999999988</v>
      </c>
      <c r="U386" s="311">
        <f t="shared" ca="1" si="147"/>
        <v>0</v>
      </c>
      <c r="V386" s="306">
        <f t="shared" ca="1" si="148"/>
        <v>1.0900950505463278</v>
      </c>
      <c r="W386" s="304">
        <f t="shared" ca="1" si="149"/>
        <v>8.4566913541462672</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7.795468583625909</v>
      </c>
      <c r="AH386" s="304">
        <f t="shared" ca="1" si="173"/>
        <v>-0.95800300680234574</v>
      </c>
    </row>
    <row r="387" spans="1:34" x14ac:dyDescent="0.3">
      <c r="A387" s="347">
        <f t="shared" ca="1" si="151"/>
        <v>0.1</v>
      </c>
      <c r="B387" s="304">
        <f t="shared" ca="1" si="152"/>
        <v>20.300000000000022</v>
      </c>
      <c r="D387" s="306">
        <f t="shared" ca="1" si="153"/>
        <v>-0.43868518767925196</v>
      </c>
      <c r="E387" s="307">
        <f t="shared" ca="1" si="154"/>
        <v>-8.9235194180210389</v>
      </c>
      <c r="F387" s="304">
        <f t="shared" ca="1" si="155"/>
        <v>8.9342959150504822</v>
      </c>
      <c r="G387" s="306">
        <f t="shared" ca="1" si="156"/>
        <v>22.147461428684942</v>
      </c>
      <c r="H387" s="307">
        <f t="shared" ca="1" si="157"/>
        <v>-45.73586077048094</v>
      </c>
      <c r="I387" s="304">
        <f t="shared" ca="1" si="158"/>
        <v>50.816129409390321</v>
      </c>
      <c r="J387" s="306">
        <f t="shared" ca="1" si="159"/>
        <v>532.78884591446888</v>
      </c>
      <c r="K387" s="307">
        <f t="shared" ca="1" si="160"/>
        <v>1160.9087047752851</v>
      </c>
      <c r="L387" s="304">
        <f t="shared" ca="1" si="145"/>
        <v>1277.3304095471547</v>
      </c>
      <c r="M387" s="306">
        <f t="shared" ca="1" si="161"/>
        <v>-1.1198302089880932</v>
      </c>
      <c r="N387" s="304">
        <f t="shared" ca="1" si="162"/>
        <v>-64.161544746270678</v>
      </c>
      <c r="P387" s="310">
        <f t="shared" ca="1" si="163"/>
        <v>23</v>
      </c>
      <c r="Q387" s="304">
        <f t="shared" ca="1" si="164"/>
        <v>0</v>
      </c>
      <c r="R387" s="306">
        <f t="shared" ca="1" si="165"/>
        <v>0</v>
      </c>
      <c r="S387" s="307">
        <f t="shared" ca="1" si="166"/>
        <v>8.5499999999999989</v>
      </c>
      <c r="T387" s="304">
        <f t="shared" ca="1" si="146"/>
        <v>83.875499999999988</v>
      </c>
      <c r="U387" s="311">
        <f t="shared" ca="1" si="147"/>
        <v>0</v>
      </c>
      <c r="V387" s="306">
        <f t="shared" ca="1" si="148"/>
        <v>1.0905905393109323</v>
      </c>
      <c r="W387" s="304">
        <f t="shared" ca="1" si="149"/>
        <v>8.7271321412098679</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7.8032410404382668</v>
      </c>
      <c r="AH387" s="304">
        <f t="shared" ca="1" si="173"/>
        <v>-0.98908670808728283</v>
      </c>
    </row>
    <row r="388" spans="1:34" x14ac:dyDescent="0.3">
      <c r="A388" s="347">
        <f t="shared" ca="1" si="151"/>
        <v>0.1</v>
      </c>
      <c r="B388" s="304">
        <f t="shared" ca="1" si="152"/>
        <v>20.400000000000023</v>
      </c>
      <c r="D388" s="306">
        <f t="shared" ca="1" si="153"/>
        <v>-0.44486455953450782</v>
      </c>
      <c r="E388" s="307">
        <f t="shared" ca="1" si="154"/>
        <v>-8.8913275091546389</v>
      </c>
      <c r="F388" s="304">
        <f t="shared" ca="1" si="155"/>
        <v>8.9024496264443904</v>
      </c>
      <c r="G388" s="306">
        <f t="shared" ca="1" si="156"/>
        <v>22.102974972731491</v>
      </c>
      <c r="H388" s="307">
        <f t="shared" ca="1" si="157"/>
        <v>-46.624993521396405</v>
      </c>
      <c r="I388" s="304">
        <f t="shared" ca="1" si="158"/>
        <v>51.59875505780591</v>
      </c>
      <c r="J388" s="306">
        <f t="shared" ca="1" si="159"/>
        <v>535.00136773453971</v>
      </c>
      <c r="K388" s="307">
        <f t="shared" ca="1" si="160"/>
        <v>1156.2906620606911</v>
      </c>
      <c r="L388" s="304">
        <f t="shared" ref="L388:L451" ca="1" si="174">SQRT(pos_x^2+pos_z^2)</f>
        <v>1274.0622271484935</v>
      </c>
      <c r="M388" s="306">
        <f t="shared" ca="1" si="161"/>
        <v>-1.1281164416922722</v>
      </c>
      <c r="N388" s="304">
        <f t="shared" ca="1" si="162"/>
        <v>-64.63631090828342</v>
      </c>
      <c r="P388" s="310">
        <f t="shared" ca="1" si="163"/>
        <v>23</v>
      </c>
      <c r="Q388" s="304">
        <f t="shared" ca="1" si="164"/>
        <v>0</v>
      </c>
      <c r="R388" s="306">
        <f t="shared" ca="1" si="165"/>
        <v>0</v>
      </c>
      <c r="S388" s="307">
        <f t="shared" ca="1" si="166"/>
        <v>8.5499999999999989</v>
      </c>
      <c r="T388" s="304">
        <f t="shared" ref="T388:T451" ca="1" si="175">m*g</f>
        <v>83.875499999999988</v>
      </c>
      <c r="U388" s="311">
        <f t="shared" ref="U388:U451" ca="1" si="176">IF(pos_xz&lt;L_rampe,Poids*COS(Beta),0)</f>
        <v>0</v>
      </c>
      <c r="V388" s="306">
        <f t="shared" ref="V388:V451" ca="1" si="177">Rho_moyen*(20000-Alt_rampe-pos_z)/(20000+Alt_rampe+pos_z)</f>
        <v>1.0910959916225333</v>
      </c>
      <c r="W388" s="304">
        <f t="shared" ref="W388:W451" ca="1" si="178">1/2*Rho*Sref*Cx*vit_xz^2</f>
        <v>9.0021877875065819</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7.808542306585819</v>
      </c>
      <c r="AH388" s="304">
        <f t="shared" ca="1" si="173"/>
        <v>-1.0207172094982302</v>
      </c>
    </row>
    <row r="389" spans="1:34" x14ac:dyDescent="0.3">
      <c r="A389" s="347">
        <f t="shared" ref="A389:A452" ca="1" si="180">IF(B388+0.01&lt;=T_ini+ROUNDUP(Temps_fin_propu,0), 0.01, IF(K388&gt;0, 0.1, 0.0001))</f>
        <v>0.1</v>
      </c>
      <c r="B389" s="304">
        <f t="shared" ref="B389:B452" ca="1" si="181">B388+pas</f>
        <v>20.500000000000025</v>
      </c>
      <c r="D389" s="306">
        <f t="shared" ref="D389:D452" ca="1" si="182">IF(AND(L388&lt;L_rampe,Poussee&lt;Poids*SIN(M388)),0,(-W388+Poussee)/m*COS(M388)-U388/m*SIN(M388))</f>
        <v>-0.45101757131662412</v>
      </c>
      <c r="E389" s="307">
        <f t="shared" ref="E389:E452" ca="1" si="183">IF(AND(L388&lt;L_rampe,Poussee&lt;Poids*SIN(M388)),0,(-W388+Poussee)/m*SIN(M388)+U388/m*COS(M388)-Poids/m)</f>
        <v>-8.8586035763684894</v>
      </c>
      <c r="F389" s="304">
        <f t="shared" ref="F389:F452" ca="1" si="184">SQRT(acc_x^2+acc_z^2)</f>
        <v>8.870077461492933</v>
      </c>
      <c r="G389" s="306">
        <f t="shared" ref="G389:G452" ca="1" si="185">G388+acc_x*pas</f>
        <v>22.05787321559983</v>
      </c>
      <c r="H389" s="307">
        <f t="shared" ref="H389:H452" ca="1" si="186">H388+acc_z*pas</f>
        <v>-47.510853879033256</v>
      </c>
      <c r="I389" s="304">
        <f t="shared" ref="I389:I452" ca="1" si="187">SQRT(vit_x^2+vit_z^2)</f>
        <v>52.381590345371592</v>
      </c>
      <c r="J389" s="306">
        <f t="shared" ref="J389:J452" ca="1" si="188">J388+0.5*(vit_x+G388)*pas*(K388&gt;=0)</f>
        <v>537.20941014395623</v>
      </c>
      <c r="K389" s="307">
        <f t="shared" ref="K389:K452" ca="1" si="189">K388+0.5*(vit_z+H388)*pas</f>
        <v>1151.5838696906696</v>
      </c>
      <c r="L389" s="304">
        <f t="shared" ca="1" si="174"/>
        <v>1270.7239508559499</v>
      </c>
      <c r="M389" s="306">
        <f t="shared" ref="M389:M452" ca="1" si="190">IF(AND(L388&gt;L_rampe,G389&gt;0),ATAN2(G389,H389),$M$4)</f>
        <v>-1.1361388820056828</v>
      </c>
      <c r="N389" s="304">
        <f t="shared" ref="N389:N452" ca="1" si="191">DEGREES(Beta)</f>
        <v>-65.095962879637455</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8.5499999999999989</v>
      </c>
      <c r="T389" s="304">
        <f t="shared" ca="1" si="175"/>
        <v>83.875499999999988</v>
      </c>
      <c r="U389" s="311">
        <f t="shared" ca="1" si="176"/>
        <v>0</v>
      </c>
      <c r="V389" s="306">
        <f t="shared" ca="1" si="177"/>
        <v>1.0916113848436166</v>
      </c>
      <c r="W389" s="304">
        <f t="shared" ca="1" si="178"/>
        <v>9.2817972425548891</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7.8114966885184645</v>
      </c>
      <c r="AH389" s="304">
        <f t="shared" ref="AH389:AH452" ca="1" si="202">IF(AND(L388&lt;L_rampe,Poussee&lt;Poids*SIN(M388)), g*SIN(M388), (-W388+Poussee)/m)</f>
        <v>-1.0528874605270857</v>
      </c>
    </row>
    <row r="390" spans="1:34" x14ac:dyDescent="0.3">
      <c r="A390" s="347">
        <f t="shared" ca="1" si="180"/>
        <v>0.1</v>
      </c>
      <c r="B390" s="304">
        <f t="shared" ca="1" si="181"/>
        <v>20.600000000000026</v>
      </c>
      <c r="D390" s="306">
        <f t="shared" ca="1" si="182"/>
        <v>-0.45714178400597272</v>
      </c>
      <c r="E390" s="307">
        <f t="shared" ca="1" si="183"/>
        <v>-8.8253540058182924</v>
      </c>
      <c r="F390" s="304">
        <f t="shared" ca="1" si="184"/>
        <v>8.8371857476629483</v>
      </c>
      <c r="G390" s="306">
        <f t="shared" ca="1" si="185"/>
        <v>22.012159037199233</v>
      </c>
      <c r="H390" s="307">
        <f t="shared" ca="1" si="186"/>
        <v>-48.393389279615086</v>
      </c>
      <c r="I390" s="304">
        <f t="shared" ca="1" si="187"/>
        <v>53.164417343250513</v>
      </c>
      <c r="J390" s="306">
        <f t="shared" ca="1" si="188"/>
        <v>539.41291175659615</v>
      </c>
      <c r="K390" s="307">
        <f t="shared" ca="1" si="189"/>
        <v>1146.7886575327373</v>
      </c>
      <c r="L390" s="304">
        <f t="shared" ca="1" si="174"/>
        <v>1267.3162645588777</v>
      </c>
      <c r="M390" s="306">
        <f t="shared" ca="1" si="190"/>
        <v>-1.1439091728597466</v>
      </c>
      <c r="N390" s="304">
        <f t="shared" ca="1" si="191"/>
        <v>-65.541167751164409</v>
      </c>
      <c r="P390" s="310">
        <f t="shared" ca="1" si="192"/>
        <v>23</v>
      </c>
      <c r="Q390" s="304">
        <f t="shared" ca="1" si="193"/>
        <v>0</v>
      </c>
      <c r="R390" s="306">
        <f t="shared" ca="1" si="194"/>
        <v>0</v>
      </c>
      <c r="S390" s="307">
        <f t="shared" ca="1" si="195"/>
        <v>8.5499999999999989</v>
      </c>
      <c r="T390" s="304">
        <f t="shared" ca="1" si="175"/>
        <v>83.875499999999988</v>
      </c>
      <c r="U390" s="311">
        <f t="shared" ca="1" si="176"/>
        <v>0</v>
      </c>
      <c r="V390" s="306">
        <f t="shared" ca="1" si="177"/>
        <v>1.0921366959562262</v>
      </c>
      <c r="W390" s="304">
        <f t="shared" ca="1" si="178"/>
        <v>9.5658987105765636</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7.8122204077787227</v>
      </c>
      <c r="AH390" s="304">
        <f t="shared" ca="1" si="202"/>
        <v>-1.0855903207666537</v>
      </c>
    </row>
    <row r="391" spans="1:34" x14ac:dyDescent="0.3">
      <c r="A391" s="347">
        <f t="shared" ca="1" si="180"/>
        <v>0.1</v>
      </c>
      <c r="B391" s="304">
        <f t="shared" ca="1" si="181"/>
        <v>20.700000000000028</v>
      </c>
      <c r="D391" s="306">
        <f t="shared" ca="1" si="182"/>
        <v>-0.46323487334787244</v>
      </c>
      <c r="E391" s="307">
        <f t="shared" ca="1" si="183"/>
        <v>-8.7915853358167855</v>
      </c>
      <c r="F391" s="304">
        <f t="shared" ca="1" si="184"/>
        <v>8.8037809641559317</v>
      </c>
      <c r="G391" s="306">
        <f t="shared" ca="1" si="185"/>
        <v>21.965835549864444</v>
      </c>
      <c r="H391" s="307">
        <f t="shared" ca="1" si="186"/>
        <v>-49.272547813196766</v>
      </c>
      <c r="I391" s="304">
        <f t="shared" ca="1" si="187"/>
        <v>53.947028642988762</v>
      </c>
      <c r="J391" s="306">
        <f t="shared" ca="1" si="188"/>
        <v>541.61181148594937</v>
      </c>
      <c r="K391" s="307">
        <f t="shared" ca="1" si="189"/>
        <v>1141.9053606780967</v>
      </c>
      <c r="L391" s="304">
        <f t="shared" ca="1" si="174"/>
        <v>1263.8398660773705</v>
      </c>
      <c r="M391" s="306">
        <f t="shared" ca="1" si="190"/>
        <v>-1.1514383439302025</v>
      </c>
      <c r="N391" s="304">
        <f t="shared" ca="1" si="191"/>
        <v>-65.972557476733527</v>
      </c>
      <c r="P391" s="310">
        <f t="shared" ca="1" si="192"/>
        <v>23</v>
      </c>
      <c r="Q391" s="304">
        <f t="shared" ca="1" si="193"/>
        <v>0</v>
      </c>
      <c r="R391" s="306">
        <f t="shared" ca="1" si="194"/>
        <v>0</v>
      </c>
      <c r="S391" s="307">
        <f t="shared" ca="1" si="195"/>
        <v>8.5499999999999989</v>
      </c>
      <c r="T391" s="304">
        <f t="shared" ca="1" si="175"/>
        <v>83.875499999999988</v>
      </c>
      <c r="U391" s="311">
        <f t="shared" ca="1" si="176"/>
        <v>0</v>
      </c>
      <c r="V391" s="306">
        <f t="shared" ca="1" si="177"/>
        <v>1.0926719015654696</v>
      </c>
      <c r="W391" s="304">
        <f t="shared" ca="1" si="178"/>
        <v>9.8544296742014215</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7.8108222113365464</v>
      </c>
      <c r="AH391" s="304">
        <f t="shared" ca="1" si="202"/>
        <v>-1.1188185626405338</v>
      </c>
    </row>
    <row r="392" spans="1:34" x14ac:dyDescent="0.3">
      <c r="A392" s="347">
        <f t="shared" ca="1" si="180"/>
        <v>0.1</v>
      </c>
      <c r="B392" s="304">
        <f t="shared" ca="1" si="181"/>
        <v>20.800000000000029</v>
      </c>
      <c r="D392" s="306">
        <f t="shared" ca="1" si="182"/>
        <v>-0.46929462332828359</v>
      </c>
      <c r="E392" s="307">
        <f t="shared" ca="1" si="183"/>
        <v>-8.7573042482756041</v>
      </c>
      <c r="F392" s="304">
        <f t="shared" ca="1" si="184"/>
        <v>8.7698697333740814</v>
      </c>
      <c r="G392" s="306">
        <f t="shared" ca="1" si="185"/>
        <v>21.918906087531617</v>
      </c>
      <c r="H392" s="307">
        <f t="shared" ca="1" si="186"/>
        <v>-50.148278238024325</v>
      </c>
      <c r="I392" s="304">
        <f t="shared" ca="1" si="187"/>
        <v>54.729226692073169</v>
      </c>
      <c r="J392" s="306">
        <f t="shared" ca="1" si="188"/>
        <v>543.80604856781918</v>
      </c>
      <c r="K392" s="307">
        <f t="shared" ca="1" si="189"/>
        <v>1136.9343193755356</v>
      </c>
      <c r="L392" s="304">
        <f t="shared" ca="1" si="174"/>
        <v>1260.2954673539286</v>
      </c>
      <c r="M392" s="306">
        <f t="shared" ca="1" si="190"/>
        <v>-1.1587368462450469</v>
      </c>
      <c r="N392" s="304">
        <f t="shared" ca="1" si="191"/>
        <v>-66.390730856140578</v>
      </c>
      <c r="P392" s="310">
        <f t="shared" ca="1" si="192"/>
        <v>23</v>
      </c>
      <c r="Q392" s="304">
        <f t="shared" ca="1" si="193"/>
        <v>0</v>
      </c>
      <c r="R392" s="306">
        <f t="shared" ca="1" si="194"/>
        <v>0</v>
      </c>
      <c r="S392" s="307">
        <f t="shared" ca="1" si="195"/>
        <v>8.5499999999999989</v>
      </c>
      <c r="T392" s="304">
        <f t="shared" ca="1" si="175"/>
        <v>83.875499999999988</v>
      </c>
      <c r="U392" s="311">
        <f t="shared" ca="1" si="176"/>
        <v>0</v>
      </c>
      <c r="V392" s="306">
        <f t="shared" ca="1" si="177"/>
        <v>1.0932169779031442</v>
      </c>
      <c r="W392" s="304">
        <f t="shared" ca="1" si="178"/>
        <v>10.147326918503969</v>
      </c>
      <c r="Y392" s="314" t="str">
        <f t="shared" ca="1" si="196"/>
        <v/>
      </c>
      <c r="Z392" s="315" t="str">
        <f t="shared" ca="1" si="197"/>
        <v/>
      </c>
      <c r="AA392" s="316" t="str">
        <f t="shared" ca="1" si="198"/>
        <v/>
      </c>
      <c r="AC392" s="310" t="e">
        <f t="shared" ca="1" si="199"/>
        <v>#N/A</v>
      </c>
      <c r="AD392" s="323" t="e">
        <f t="shared" ca="1" si="200"/>
        <v>#N/A</v>
      </c>
      <c r="AE392" s="324" t="e">
        <f t="shared" ca="1" si="179"/>
        <v>#N/A</v>
      </c>
      <c r="AG392" s="306">
        <f t="shared" ca="1" si="201"/>
        <v>7.8074039360858443</v>
      </c>
      <c r="AH392" s="304">
        <f t="shared" ca="1" si="202"/>
        <v>-1.1525648741756049</v>
      </c>
    </row>
    <row r="393" spans="1:34" x14ac:dyDescent="0.3">
      <c r="A393" s="347">
        <f t="shared" ca="1" si="180"/>
        <v>0.1</v>
      </c>
      <c r="B393" s="304">
        <f t="shared" ca="1" si="181"/>
        <v>20.900000000000031</v>
      </c>
      <c r="D393" s="306">
        <f t="shared" ca="1" si="182"/>
        <v>-0.47531892014625488</v>
      </c>
      <c r="E393" s="307">
        <f t="shared" ca="1" si="183"/>
        <v>-8.7225175606801475</v>
      </c>
      <c r="F393" s="304">
        <f t="shared" ca="1" si="184"/>
        <v>8.735458812920049</v>
      </c>
      <c r="G393" s="306">
        <f t="shared" ca="1" si="185"/>
        <v>21.871374195516992</v>
      </c>
      <c r="H393" s="307">
        <f t="shared" ca="1" si="186"/>
        <v>-51.020529994092342</v>
      </c>
      <c r="I393" s="304">
        <f t="shared" ca="1" si="187"/>
        <v>55.510823179614285</v>
      </c>
      <c r="J393" s="306">
        <f t="shared" ca="1" si="188"/>
        <v>545.99556258197163</v>
      </c>
      <c r="K393" s="307">
        <f t="shared" ca="1" si="189"/>
        <v>1131.8758789639296</v>
      </c>
      <c r="L393" s="304">
        <f t="shared" ca="1" si="174"/>
        <v>1256.6837946514518</v>
      </c>
      <c r="M393" s="306">
        <f t="shared" ca="1" si="190"/>
        <v>-1.1658145850239257</v>
      </c>
      <c r="N393" s="304">
        <f t="shared" ca="1" si="191"/>
        <v>-66.796255416666412</v>
      </c>
      <c r="P393" s="310">
        <f t="shared" ca="1" si="192"/>
        <v>23</v>
      </c>
      <c r="Q393" s="304">
        <f t="shared" ca="1" si="193"/>
        <v>0</v>
      </c>
      <c r="R393" s="306">
        <f t="shared" ca="1" si="194"/>
        <v>0</v>
      </c>
      <c r="S393" s="307">
        <f t="shared" ca="1" si="195"/>
        <v>8.5499999999999989</v>
      </c>
      <c r="T393" s="304">
        <f t="shared" ca="1" si="175"/>
        <v>83.875499999999988</v>
      </c>
      <c r="U393" s="311">
        <f t="shared" ca="1" si="176"/>
        <v>0</v>
      </c>
      <c r="V393" s="306">
        <f t="shared" ca="1" si="177"/>
        <v>1.0937719008314757</v>
      </c>
      <c r="W393" s="304">
        <f t="shared" ca="1" si="178"/>
        <v>10.444526555341605</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7.8020610303739986</v>
      </c>
      <c r="AH393" s="304">
        <f t="shared" ca="1" si="202"/>
        <v>-1.1868218618133299</v>
      </c>
    </row>
    <row r="394" spans="1:34" x14ac:dyDescent="0.3">
      <c r="A394" s="347">
        <f t="shared" ca="1" si="180"/>
        <v>0.1</v>
      </c>
      <c r="B394" s="304">
        <f t="shared" ca="1" si="181"/>
        <v>21.000000000000032</v>
      </c>
      <c r="D394" s="306">
        <f t="shared" ca="1" si="182"/>
        <v>-0.48130574664417664</v>
      </c>
      <c r="E394" s="307">
        <f t="shared" ca="1" si="183"/>
        <v>-8.6872322185397213</v>
      </c>
      <c r="F394" s="304">
        <f t="shared" ca="1" si="184"/>
        <v>8.7005550880726723</v>
      </c>
      <c r="G394" s="306">
        <f t="shared" ca="1" si="185"/>
        <v>21.823243620852576</v>
      </c>
      <c r="H394" s="307">
        <f t="shared" ca="1" si="186"/>
        <v>-51.889253215946312</v>
      </c>
      <c r="I394" s="304">
        <f t="shared" ca="1" si="187"/>
        <v>56.291638468281214</v>
      </c>
      <c r="J394" s="306">
        <f t="shared" ca="1" si="188"/>
        <v>548.18029347279014</v>
      </c>
      <c r="K394" s="307">
        <f t="shared" ca="1" si="189"/>
        <v>1126.7303898034277</v>
      </c>
      <c r="L394" s="304">
        <f t="shared" ca="1" si="174"/>
        <v>1253.0055887578867</v>
      </c>
      <c r="M394" s="306">
        <f t="shared" ca="1" si="190"/>
        <v>-1.1726809507796618</v>
      </c>
      <c r="N394" s="304">
        <f t="shared" ca="1" si="191"/>
        <v>-67.189669195063246</v>
      </c>
      <c r="P394" s="310">
        <f t="shared" ca="1" si="192"/>
        <v>23</v>
      </c>
      <c r="Q394" s="304">
        <f t="shared" ca="1" si="193"/>
        <v>0</v>
      </c>
      <c r="R394" s="306">
        <f t="shared" ca="1" si="194"/>
        <v>0</v>
      </c>
      <c r="S394" s="307">
        <f t="shared" ca="1" si="195"/>
        <v>8.5499999999999989</v>
      </c>
      <c r="T394" s="304">
        <f t="shared" ca="1" si="175"/>
        <v>83.875499999999988</v>
      </c>
      <c r="U394" s="311">
        <f t="shared" ca="1" si="176"/>
        <v>0</v>
      </c>
      <c r="V394" s="306">
        <f t="shared" ca="1" si="177"/>
        <v>1.0943366458469737</v>
      </c>
      <c r="W394" s="304">
        <f t="shared" ca="1" si="178"/>
        <v>10.745964047965057</v>
      </c>
      <c r="Y394" s="314" t="str">
        <f t="shared" ca="1" si="196"/>
        <v/>
      </c>
      <c r="Z394" s="315" t="str">
        <f t="shared" ca="1" si="197"/>
        <v/>
      </c>
      <c r="AA394" s="316" t="str">
        <f t="shared" ca="1" si="198"/>
        <v/>
      </c>
      <c r="AC394" s="310">
        <f t="shared" ca="1" si="199"/>
        <v>21.000000000000032</v>
      </c>
      <c r="AD394" s="323">
        <f t="shared" ca="1" si="200"/>
        <v>548.18029347279014</v>
      </c>
      <c r="AE394" s="324" t="e">
        <f t="shared" ca="1" si="179"/>
        <v>#N/A</v>
      </c>
      <c r="AG394" s="306">
        <f t="shared" ca="1" si="201"/>
        <v>7.794883035408632</v>
      </c>
      <c r="AH394" s="304">
        <f t="shared" ca="1" si="202"/>
        <v>-1.2215820532563282</v>
      </c>
    </row>
    <row r="395" spans="1:34" x14ac:dyDescent="0.3">
      <c r="A395" s="347">
        <f t="shared" ca="1" si="180"/>
        <v>0.1</v>
      </c>
      <c r="B395" s="304">
        <f t="shared" ca="1" si="181"/>
        <v>21.100000000000033</v>
      </c>
      <c r="D395" s="306">
        <f t="shared" ca="1" si="182"/>
        <v>-0.48725317715958677</v>
      </c>
      <c r="E395" s="307">
        <f t="shared" ca="1" si="183"/>
        <v>-8.6514552882620297</v>
      </c>
      <c r="F395" s="304">
        <f t="shared" ca="1" si="184"/>
        <v>8.6651655646876797</v>
      </c>
      <c r="G395" s="306">
        <f t="shared" ca="1" si="185"/>
        <v>21.774518303136617</v>
      </c>
      <c r="H395" s="307">
        <f t="shared" ca="1" si="186"/>
        <v>-52.754398744772516</v>
      </c>
      <c r="I395" s="304">
        <f t="shared" ca="1" si="187"/>
        <v>57.071501068888026</v>
      </c>
      <c r="J395" s="306">
        <f t="shared" ca="1" si="188"/>
        <v>550.36018156898956</v>
      </c>
      <c r="K395" s="307">
        <f t="shared" ca="1" si="189"/>
        <v>1121.4982072053917</v>
      </c>
      <c r="L395" s="304">
        <f t="shared" ca="1" si="174"/>
        <v>1249.26160519787</v>
      </c>
      <c r="M395" s="306">
        <f t="shared" ca="1" si="190"/>
        <v>-1.1793448487264184</v>
      </c>
      <c r="N395" s="304">
        <f t="shared" ca="1" si="191"/>
        <v>-67.571482422518301</v>
      </c>
      <c r="P395" s="310">
        <f t="shared" ca="1" si="192"/>
        <v>23</v>
      </c>
      <c r="Q395" s="304">
        <f t="shared" ca="1" si="193"/>
        <v>0</v>
      </c>
      <c r="R395" s="306">
        <f t="shared" ca="1" si="194"/>
        <v>0</v>
      </c>
      <c r="S395" s="307">
        <f t="shared" ca="1" si="195"/>
        <v>8.5499999999999989</v>
      </c>
      <c r="T395" s="304">
        <f t="shared" ca="1" si="175"/>
        <v>83.875499999999988</v>
      </c>
      <c r="U395" s="311">
        <f t="shared" ca="1" si="176"/>
        <v>0</v>
      </c>
      <c r="V395" s="306">
        <f t="shared" ca="1" si="177"/>
        <v>1.094911188084382</v>
      </c>
      <c r="W395" s="304">
        <f t="shared" ca="1" si="178"/>
        <v>11.051574235873156</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7.7859540293153682</v>
      </c>
      <c r="AH395" s="304">
        <f t="shared" ca="1" si="202"/>
        <v>-1.2568379003467904</v>
      </c>
    </row>
    <row r="396" spans="1:34" x14ac:dyDescent="0.3">
      <c r="A396" s="347">
        <f t="shared" ca="1" si="180"/>
        <v>0.1</v>
      </c>
      <c r="B396" s="304">
        <f t="shared" ca="1" si="181"/>
        <v>21.200000000000035</v>
      </c>
      <c r="D396" s="306">
        <f t="shared" ca="1" si="182"/>
        <v>-0.49315937276486671</v>
      </c>
      <c r="E396" s="307">
        <f t="shared" ca="1" si="183"/>
        <v>-8.6151939504070683</v>
      </c>
      <c r="F396" s="304">
        <f t="shared" ca="1" si="184"/>
        <v>8.6292973624783826</v>
      </c>
      <c r="G396" s="306">
        <f t="shared" ca="1" si="185"/>
        <v>21.725202365860131</v>
      </c>
      <c r="H396" s="307">
        <f t="shared" ca="1" si="186"/>
        <v>-53.615918139813225</v>
      </c>
      <c r="I396" s="304">
        <f t="shared" ca="1" si="187"/>
        <v>57.850247154292497</v>
      </c>
      <c r="J396" s="306">
        <f t="shared" ca="1" si="188"/>
        <v>552.5351676024394</v>
      </c>
      <c r="K396" s="307">
        <f t="shared" ca="1" si="189"/>
        <v>1116.1796913611624</v>
      </c>
      <c r="L396" s="304">
        <f t="shared" ca="1" si="174"/>
        <v>1245.4526144516922</v>
      </c>
      <c r="M396" s="306">
        <f t="shared" ca="1" si="190"/>
        <v>-1.1858147265490624</v>
      </c>
      <c r="N396" s="304">
        <f t="shared" ca="1" si="191"/>
        <v>-67.942179115721089</v>
      </c>
      <c r="P396" s="310">
        <f t="shared" ca="1" si="192"/>
        <v>23</v>
      </c>
      <c r="Q396" s="304">
        <f t="shared" ca="1" si="193"/>
        <v>0</v>
      </c>
      <c r="R396" s="306">
        <f t="shared" ca="1" si="194"/>
        <v>0</v>
      </c>
      <c r="S396" s="307">
        <f t="shared" ca="1" si="195"/>
        <v>8.5499999999999989</v>
      </c>
      <c r="T396" s="304">
        <f t="shared" ca="1" si="175"/>
        <v>83.875499999999988</v>
      </c>
      <c r="U396" s="311">
        <f t="shared" ca="1" si="176"/>
        <v>0</v>
      </c>
      <c r="V396" s="306">
        <f t="shared" ca="1" si="177"/>
        <v>1.095495502320734</v>
      </c>
      <c r="W396" s="304">
        <f t="shared" ca="1" si="178"/>
        <v>11.361291359885172</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7.7753530365193226</v>
      </c>
      <c r="AH396" s="304">
        <f t="shared" ca="1" si="202"/>
        <v>-1.2925817819734686</v>
      </c>
    </row>
    <row r="397" spans="1:34" x14ac:dyDescent="0.3">
      <c r="A397" s="347">
        <f t="shared" ca="1" si="180"/>
        <v>0.1</v>
      </c>
      <c r="B397" s="304">
        <f t="shared" ca="1" si="181"/>
        <v>21.300000000000036</v>
      </c>
      <c r="D397" s="306">
        <f t="shared" ca="1" si="182"/>
        <v>-0.4990225768636648</v>
      </c>
      <c r="E397" s="307">
        <f t="shared" ca="1" si="183"/>
        <v>-8.5784554932806678</v>
      </c>
      <c r="F397" s="304">
        <f t="shared" ca="1" si="184"/>
        <v>8.592957708636586</v>
      </c>
      <c r="G397" s="306">
        <f t="shared" ca="1" si="185"/>
        <v>21.675300108173765</v>
      </c>
      <c r="H397" s="307">
        <f t="shared" ca="1" si="186"/>
        <v>-54.473763689141293</v>
      </c>
      <c r="I397" s="304">
        <f t="shared" ca="1" si="187"/>
        <v>58.627720109516503</v>
      </c>
      <c r="J397" s="306">
        <f t="shared" ca="1" si="188"/>
        <v>554.70519272614115</v>
      </c>
      <c r="K397" s="307">
        <f t="shared" ca="1" si="189"/>
        <v>1110.7752072697147</v>
      </c>
      <c r="L397" s="304">
        <f t="shared" ca="1" si="174"/>
        <v>1241.5794021819236</v>
      </c>
      <c r="M397" s="306">
        <f t="shared" ca="1" si="190"/>
        <v>-1.1920986005953655</v>
      </c>
      <c r="N397" s="304">
        <f t="shared" ca="1" si="191"/>
        <v>-68.302218577566052</v>
      </c>
      <c r="P397" s="310">
        <f t="shared" ca="1" si="192"/>
        <v>23</v>
      </c>
      <c r="Q397" s="304">
        <f t="shared" ca="1" si="193"/>
        <v>0</v>
      </c>
      <c r="R397" s="306">
        <f t="shared" ca="1" si="194"/>
        <v>0</v>
      </c>
      <c r="S397" s="307">
        <f t="shared" ca="1" si="195"/>
        <v>8.5499999999999989</v>
      </c>
      <c r="T397" s="304">
        <f t="shared" ca="1" si="175"/>
        <v>83.875499999999988</v>
      </c>
      <c r="U397" s="311">
        <f t="shared" ca="1" si="176"/>
        <v>0</v>
      </c>
      <c r="V397" s="306">
        <f t="shared" ca="1" si="177"/>
        <v>1.096089562979494</v>
      </c>
      <c r="W397" s="304">
        <f t="shared" ca="1" si="178"/>
        <v>11.675049087404817</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7.7631544050014964</v>
      </c>
      <c r="AH397" s="304">
        <f t="shared" ca="1" si="202"/>
        <v>-1.3288060070041139</v>
      </c>
    </row>
    <row r="398" spans="1:34" x14ac:dyDescent="0.3">
      <c r="A398" s="347">
        <f t="shared" ca="1" si="180"/>
        <v>0.1</v>
      </c>
      <c r="B398" s="304">
        <f t="shared" ca="1" si="181"/>
        <v>21.400000000000038</v>
      </c>
      <c r="D398" s="306">
        <f t="shared" ca="1" si="182"/>
        <v>-0.50484111111522789</v>
      </c>
      <c r="E398" s="307">
        <f t="shared" ca="1" si="183"/>
        <v>-8.541247306832723</v>
      </c>
      <c r="F398" s="304">
        <f t="shared" ca="1" si="184"/>
        <v>8.5561539317586668</v>
      </c>
      <c r="G398" s="306">
        <f t="shared" ca="1" si="185"/>
        <v>21.624815997062242</v>
      </c>
      <c r="H398" s="307">
        <f t="shared" ca="1" si="186"/>
        <v>-55.327888419824568</v>
      </c>
      <c r="I398" s="304">
        <f t="shared" ca="1" si="187"/>
        <v>59.40377011523222</v>
      </c>
      <c r="J398" s="306">
        <f t="shared" ca="1" si="188"/>
        <v>556.87019853140293</v>
      </c>
      <c r="K398" s="307">
        <f t="shared" ca="1" si="189"/>
        <v>1105.2851246642663</v>
      </c>
      <c r="L398" s="304">
        <f t="shared" ca="1" si="174"/>
        <v>1237.6427694680347</v>
      </c>
      <c r="M398" s="306">
        <f t="shared" ca="1" si="190"/>
        <v>-1.1982040805573539</v>
      </c>
      <c r="N398" s="304">
        <f t="shared" ca="1" si="191"/>
        <v>-68.652036811289676</v>
      </c>
      <c r="P398" s="310">
        <f t="shared" ca="1" si="192"/>
        <v>23</v>
      </c>
      <c r="Q398" s="304">
        <f t="shared" ca="1" si="193"/>
        <v>0</v>
      </c>
      <c r="R398" s="306">
        <f t="shared" ca="1" si="194"/>
        <v>0</v>
      </c>
      <c r="S398" s="307">
        <f t="shared" ca="1" si="195"/>
        <v>8.5499999999999989</v>
      </c>
      <c r="T398" s="304">
        <f t="shared" ca="1" si="175"/>
        <v>83.875499999999988</v>
      </c>
      <c r="U398" s="311">
        <f t="shared" ca="1" si="176"/>
        <v>0</v>
      </c>
      <c r="V398" s="306">
        <f t="shared" ca="1" si="177"/>
        <v>1.096693344134789</v>
      </c>
      <c r="W398" s="304">
        <f t="shared" ca="1" si="178"/>
        <v>11.992780537851178</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7.7494281538470791</v>
      </c>
      <c r="AH398" s="304">
        <f t="shared" ca="1" si="202"/>
        <v>-1.3655028172403296</v>
      </c>
    </row>
    <row r="399" spans="1:34" x14ac:dyDescent="0.3">
      <c r="A399" s="347">
        <f t="shared" ca="1" si="180"/>
        <v>0.1</v>
      </c>
      <c r="B399" s="304">
        <f t="shared" ca="1" si="181"/>
        <v>21.500000000000039</v>
      </c>
      <c r="D399" s="306">
        <f t="shared" ca="1" si="182"/>
        <v>-0.51061337166005305</v>
      </c>
      <c r="E399" s="307">
        <f t="shared" ca="1" si="183"/>
        <v>-8.5035768768291131</v>
      </c>
      <c r="F399" s="304">
        <f t="shared" ca="1" si="184"/>
        <v>8.5188934560458502</v>
      </c>
      <c r="G399" s="306">
        <f t="shared" ca="1" si="185"/>
        <v>21.573754659896238</v>
      </c>
      <c r="H399" s="307">
        <f t="shared" ca="1" si="186"/>
        <v>-56.178246107507476</v>
      </c>
      <c r="I399" s="304">
        <f t="shared" ca="1" si="187"/>
        <v>60.178253761978446</v>
      </c>
      <c r="J399" s="306">
        <f t="shared" ca="1" si="188"/>
        <v>559.03012706425091</v>
      </c>
      <c r="K399" s="307">
        <f t="shared" ca="1" si="189"/>
        <v>1099.7098179378997</v>
      </c>
      <c r="L399" s="304">
        <f t="shared" ca="1" si="174"/>
        <v>1233.6435330493493</v>
      </c>
      <c r="M399" s="306">
        <f t="shared" ca="1" si="190"/>
        <v>-1.2041383927108755</v>
      </c>
      <c r="N399" s="304">
        <f t="shared" ca="1" si="191"/>
        <v>-68.992047851999658</v>
      </c>
      <c r="P399" s="310">
        <f t="shared" ca="1" si="192"/>
        <v>23</v>
      </c>
      <c r="Q399" s="304">
        <f t="shared" ca="1" si="193"/>
        <v>0</v>
      </c>
      <c r="R399" s="306">
        <f t="shared" ca="1" si="194"/>
        <v>0</v>
      </c>
      <c r="S399" s="307">
        <f t="shared" ca="1" si="195"/>
        <v>8.5499999999999989</v>
      </c>
      <c r="T399" s="304">
        <f t="shared" ca="1" si="175"/>
        <v>83.875499999999988</v>
      </c>
      <c r="U399" s="311">
        <f t="shared" ca="1" si="176"/>
        <v>0</v>
      </c>
      <c r="V399" s="306">
        <f t="shared" ca="1" si="177"/>
        <v>1.0973068195157214</v>
      </c>
      <c r="W399" s="304">
        <f t="shared" ca="1" si="178"/>
        <v>12.314418308232582</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7.7342402933615073</v>
      </c>
      <c r="AH399" s="304">
        <f t="shared" ca="1" si="202"/>
        <v>-1.4026643903919509</v>
      </c>
    </row>
    <row r="400" spans="1:34" x14ac:dyDescent="0.3">
      <c r="A400" s="347">
        <f t="shared" ca="1" si="180"/>
        <v>0.1</v>
      </c>
      <c r="B400" s="304">
        <f t="shared" ca="1" si="181"/>
        <v>21.600000000000041</v>
      </c>
      <c r="D400" s="306">
        <f t="shared" ca="1" si="182"/>
        <v>-0.51633782562234842</v>
      </c>
      <c r="E400" s="307">
        <f t="shared" ca="1" si="183"/>
        <v>-8.4654517792700688</v>
      </c>
      <c r="F400" s="304">
        <f t="shared" ca="1" si="184"/>
        <v>8.4811837957513454</v>
      </c>
      <c r="G400" s="306">
        <f t="shared" ca="1" si="185"/>
        <v>21.522120877334004</v>
      </c>
      <c r="H400" s="307">
        <f t="shared" ca="1" si="186"/>
        <v>-57.024791285434482</v>
      </c>
      <c r="I400" s="304">
        <f t="shared" ca="1" si="187"/>
        <v>60.951033692677768</v>
      </c>
      <c r="J400" s="306">
        <f t="shared" ca="1" si="188"/>
        <v>561.18492084111244</v>
      </c>
      <c r="K400" s="307">
        <f t="shared" ca="1" si="189"/>
        <v>1094.0496660682527</v>
      </c>
      <c r="L400" s="304">
        <f t="shared" ca="1" si="174"/>
        <v>1229.5825255766695</v>
      </c>
      <c r="M400" s="306">
        <f t="shared" ca="1" si="190"/>
        <v>-1.2099084017837256</v>
      </c>
      <c r="N400" s="304">
        <f t="shared" ca="1" si="191"/>
        <v>-69.322645019626165</v>
      </c>
      <c r="P400" s="310">
        <f t="shared" ca="1" si="192"/>
        <v>23</v>
      </c>
      <c r="Q400" s="304">
        <f t="shared" ca="1" si="193"/>
        <v>0</v>
      </c>
      <c r="R400" s="306">
        <f t="shared" ca="1" si="194"/>
        <v>0</v>
      </c>
      <c r="S400" s="307">
        <f t="shared" ca="1" si="195"/>
        <v>8.5499999999999989</v>
      </c>
      <c r="T400" s="304">
        <f t="shared" ca="1" si="175"/>
        <v>83.875499999999988</v>
      </c>
      <c r="U400" s="311">
        <f t="shared" ca="1" si="176"/>
        <v>0</v>
      </c>
      <c r="V400" s="306">
        <f t="shared" ca="1" si="177"/>
        <v>1.0979299625107586</v>
      </c>
      <c r="W400" s="304">
        <f t="shared" ca="1" si="178"/>
        <v>12.639894498840148</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7.7176531198867577</v>
      </c>
      <c r="AH400" s="304">
        <f t="shared" ca="1" si="202"/>
        <v>-1.4402828430681385</v>
      </c>
    </row>
    <row r="401" spans="1:34" x14ac:dyDescent="0.3">
      <c r="A401" s="347">
        <f t="shared" ca="1" si="180"/>
        <v>0.1</v>
      </c>
      <c r="B401" s="304">
        <f t="shared" ca="1" si="181"/>
        <v>21.700000000000042</v>
      </c>
      <c r="D401" s="306">
        <f t="shared" ca="1" si="182"/>
        <v>-0.52201300786673421</v>
      </c>
      <c r="E401" s="307">
        <f t="shared" ca="1" si="183"/>
        <v>-8.4268796750309036</v>
      </c>
      <c r="F401" s="304">
        <f t="shared" ca="1" si="184"/>
        <v>8.4430325498502636</v>
      </c>
      <c r="G401" s="306">
        <f t="shared" ca="1" si="185"/>
        <v>21.46991957654733</v>
      </c>
      <c r="H401" s="307">
        <f t="shared" ca="1" si="186"/>
        <v>-57.867479252937571</v>
      </c>
      <c r="I401" s="304">
        <f t="shared" ca="1" si="187"/>
        <v>61.721978271216898</v>
      </c>
      <c r="J401" s="306">
        <f t="shared" ca="1" si="188"/>
        <v>563.33452286380646</v>
      </c>
      <c r="K401" s="307">
        <f t="shared" ca="1" si="189"/>
        <v>1088.3050525413341</v>
      </c>
      <c r="L401" s="304">
        <f t="shared" ca="1" si="174"/>
        <v>1225.4605958729103</v>
      </c>
      <c r="M401" s="306">
        <f t="shared" ca="1" si="190"/>
        <v>-1.2155206315227609</v>
      </c>
      <c r="N401" s="304">
        <f t="shared" ca="1" si="191"/>
        <v>-69.644202097330691</v>
      </c>
      <c r="P401" s="310">
        <f t="shared" ca="1" si="192"/>
        <v>23</v>
      </c>
      <c r="Q401" s="304">
        <f t="shared" ca="1" si="193"/>
        <v>0</v>
      </c>
      <c r="R401" s="306">
        <f t="shared" ca="1" si="194"/>
        <v>0</v>
      </c>
      <c r="S401" s="307">
        <f t="shared" ca="1" si="195"/>
        <v>8.5499999999999989</v>
      </c>
      <c r="T401" s="304">
        <f t="shared" ca="1" si="175"/>
        <v>83.875499999999988</v>
      </c>
      <c r="U401" s="311">
        <f t="shared" ca="1" si="176"/>
        <v>0</v>
      </c>
      <c r="V401" s="306">
        <f t="shared" ca="1" si="177"/>
        <v>1.098562746172199</v>
      </c>
      <c r="W401" s="304">
        <f t="shared" ca="1" si="178"/>
        <v>12.969140739038691</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7.6997254873076564</v>
      </c>
      <c r="AH401" s="304">
        <f t="shared" ca="1" si="202"/>
        <v>-1.4783502337824737</v>
      </c>
    </row>
    <row r="402" spans="1:34" x14ac:dyDescent="0.3">
      <c r="A402" s="347">
        <f t="shared" ca="1" si="180"/>
        <v>0.1</v>
      </c>
      <c r="B402" s="304">
        <f t="shared" ca="1" si="181"/>
        <v>21.800000000000043</v>
      </c>
      <c r="D402" s="306">
        <f t="shared" ca="1" si="182"/>
        <v>-0.52763751798843084</v>
      </c>
      <c r="E402" s="307">
        <f t="shared" ca="1" si="183"/>
        <v>-8.3878683047038631</v>
      </c>
      <c r="F402" s="304">
        <f t="shared" ca="1" si="184"/>
        <v>8.4044473969110332</v>
      </c>
      <c r="G402" s="306">
        <f t="shared" ca="1" si="185"/>
        <v>21.417155824748487</v>
      </c>
      <c r="H402" s="307">
        <f t="shared" ca="1" si="186"/>
        <v>-58.706266083407954</v>
      </c>
      <c r="I402" s="304">
        <f t="shared" ca="1" si="187"/>
        <v>62.490961275031232</v>
      </c>
      <c r="J402" s="306">
        <f t="shared" ca="1" si="188"/>
        <v>565.47887663387121</v>
      </c>
      <c r="K402" s="307">
        <f t="shared" ca="1" si="189"/>
        <v>1082.4763652745169</v>
      </c>
      <c r="L402" s="304">
        <f t="shared" ca="1" si="174"/>
        <v>1221.2786092030901</v>
      </c>
      <c r="M402" s="306">
        <f t="shared" ca="1" si="190"/>
        <v>-1.2209812840296383</v>
      </c>
      <c r="N402" s="304">
        <f t="shared" ca="1" si="191"/>
        <v>-69.957074439362302</v>
      </c>
      <c r="P402" s="310">
        <f t="shared" ca="1" si="192"/>
        <v>23</v>
      </c>
      <c r="Q402" s="304">
        <f t="shared" ca="1" si="193"/>
        <v>0</v>
      </c>
      <c r="R402" s="306">
        <f t="shared" ca="1" si="194"/>
        <v>0</v>
      </c>
      <c r="S402" s="307">
        <f t="shared" ca="1" si="195"/>
        <v>8.5499999999999989</v>
      </c>
      <c r="T402" s="304">
        <f t="shared" ca="1" si="175"/>
        <v>83.875499999999988</v>
      </c>
      <c r="U402" s="311">
        <f t="shared" ca="1" si="176"/>
        <v>0</v>
      </c>
      <c r="V402" s="306">
        <f t="shared" ca="1" si="177"/>
        <v>1.0992051432207057</v>
      </c>
      <c r="W402" s="304">
        <f t="shared" ca="1" si="178"/>
        <v>13.302088213133135</v>
      </c>
      <c r="Y402" s="314" t="str">
        <f t="shared" ca="1" si="196"/>
        <v/>
      </c>
      <c r="Z402" s="315" t="str">
        <f t="shared" ca="1" si="197"/>
        <v/>
      </c>
      <c r="AA402" s="316" t="str">
        <f t="shared" ca="1" si="198"/>
        <v/>
      </c>
      <c r="AC402" s="310" t="e">
        <f t="shared" ca="1" si="199"/>
        <v>#N/A</v>
      </c>
      <c r="AD402" s="323" t="e">
        <f t="shared" ca="1" si="200"/>
        <v>#N/A</v>
      </c>
      <c r="AE402" s="324" t="e">
        <f t="shared" ca="1" si="179"/>
        <v>#N/A</v>
      </c>
      <c r="AG402" s="306">
        <f t="shared" ca="1" si="201"/>
        <v>7.6805130570986861</v>
      </c>
      <c r="AH402" s="304">
        <f t="shared" ca="1" si="202"/>
        <v>-1.5168585659694378</v>
      </c>
    </row>
    <row r="403" spans="1:34" x14ac:dyDescent="0.3">
      <c r="A403" s="347">
        <f t="shared" ca="1" si="180"/>
        <v>0.1</v>
      </c>
      <c r="B403" s="304">
        <f t="shared" ca="1" si="181"/>
        <v>21.900000000000045</v>
      </c>
      <c r="D403" s="306">
        <f t="shared" ca="1" si="182"/>
        <v>-0.53321001751784514</v>
      </c>
      <c r="E403" s="307">
        <f t="shared" ca="1" si="183"/>
        <v>-8.3484254836223641</v>
      </c>
      <c r="F403" s="304">
        <f t="shared" ca="1" si="184"/>
        <v>8.3654360901495561</v>
      </c>
      <c r="G403" s="306">
        <f t="shared" ca="1" si="185"/>
        <v>21.363834822996704</v>
      </c>
      <c r="H403" s="307">
        <f t="shared" ca="1" si="186"/>
        <v>-59.541108631770193</v>
      </c>
      <c r="I403" s="304">
        <f t="shared" ca="1" si="187"/>
        <v>63.257861609799498</v>
      </c>
      <c r="J403" s="306">
        <f t="shared" ca="1" si="188"/>
        <v>567.61792616625848</v>
      </c>
      <c r="K403" s="307">
        <f t="shared" ca="1" si="189"/>
        <v>1076.5639965387579</v>
      </c>
      <c r="L403" s="304">
        <f t="shared" ca="1" si="174"/>
        <v>1217.0374475540129</v>
      </c>
      <c r="M403" s="306">
        <f t="shared" ca="1" si="190"/>
        <v>-1.226296257933329</v>
      </c>
      <c r="N403" s="304">
        <f t="shared" ca="1" si="191"/>
        <v>-70.261600012265944</v>
      </c>
      <c r="P403" s="310">
        <f t="shared" ca="1" si="192"/>
        <v>23</v>
      </c>
      <c r="Q403" s="304">
        <f t="shared" ca="1" si="193"/>
        <v>0</v>
      </c>
      <c r="R403" s="306">
        <f t="shared" ca="1" si="194"/>
        <v>0</v>
      </c>
      <c r="S403" s="307">
        <f t="shared" ca="1" si="195"/>
        <v>8.5499999999999989</v>
      </c>
      <c r="T403" s="304">
        <f t="shared" ca="1" si="175"/>
        <v>83.875499999999988</v>
      </c>
      <c r="U403" s="311">
        <f t="shared" ca="1" si="176"/>
        <v>0</v>
      </c>
      <c r="V403" s="306">
        <f t="shared" ca="1" si="177"/>
        <v>1.0998571260499053</v>
      </c>
      <c r="W403" s="304">
        <f t="shared" ca="1" si="178"/>
        <v>13.638667686289432</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7.6600685286274217</v>
      </c>
      <c r="AH403" s="304">
        <f t="shared" ca="1" si="202"/>
        <v>-1.5557997910097237</v>
      </c>
    </row>
    <row r="404" spans="1:34" x14ac:dyDescent="0.3">
      <c r="A404" s="347">
        <f t="shared" ca="1" si="180"/>
        <v>0.1</v>
      </c>
      <c r="B404" s="304">
        <f t="shared" ca="1" si="181"/>
        <v>22.000000000000046</v>
      </c>
      <c r="D404" s="306">
        <f t="shared" ca="1" si="182"/>
        <v>-0.53872922732203077</v>
      </c>
      <c r="E404" s="307">
        <f t="shared" ca="1" si="183"/>
        <v>-8.3085590970511323</v>
      </c>
      <c r="F404" s="304">
        <f t="shared" ca="1" si="184"/>
        <v>8.3260064526495601</v>
      </c>
      <c r="G404" s="306">
        <f t="shared" ca="1" si="185"/>
        <v>21.309961900264501</v>
      </c>
      <c r="H404" s="307">
        <f t="shared" ca="1" si="186"/>
        <v>-60.371964541475307</v>
      </c>
      <c r="I404" s="304">
        <f t="shared" ca="1" si="187"/>
        <v>64.022563044507024</v>
      </c>
      <c r="J404" s="306">
        <f t="shared" ca="1" si="188"/>
        <v>569.75161600242154</v>
      </c>
      <c r="K404" s="307">
        <f t="shared" ca="1" si="189"/>
        <v>1070.5683428800955</v>
      </c>
      <c r="L404" s="304">
        <f t="shared" ca="1" si="174"/>
        <v>1212.738009923992</v>
      </c>
      <c r="M404" s="306">
        <f t="shared" ca="1" si="190"/>
        <v>-1.2314711654655786</v>
      </c>
      <c r="N404" s="304">
        <f t="shared" ca="1" si="191"/>
        <v>-70.558100373234311</v>
      </c>
      <c r="P404" s="310">
        <f t="shared" ca="1" si="192"/>
        <v>23</v>
      </c>
      <c r="Q404" s="304">
        <f t="shared" ca="1" si="193"/>
        <v>0</v>
      </c>
      <c r="R404" s="306">
        <f t="shared" ca="1" si="194"/>
        <v>0</v>
      </c>
      <c r="S404" s="307">
        <f t="shared" ca="1" si="195"/>
        <v>8.5499999999999989</v>
      </c>
      <c r="T404" s="304">
        <f t="shared" ca="1" si="175"/>
        <v>83.875499999999988</v>
      </c>
      <c r="U404" s="311">
        <f t="shared" ca="1" si="176"/>
        <v>0</v>
      </c>
      <c r="V404" s="306">
        <f t="shared" ca="1" si="177"/>
        <v>1.1005186667310507</v>
      </c>
      <c r="W404" s="304">
        <f t="shared" ca="1" si="178"/>
        <v>13.978809530489389</v>
      </c>
      <c r="Y404" s="314" t="str">
        <f t="shared" ca="1" si="196"/>
        <v/>
      </c>
      <c r="Z404" s="315" t="str">
        <f t="shared" ca="1" si="197"/>
        <v/>
      </c>
      <c r="AA404" s="316" t="str">
        <f t="shared" ca="1" si="198"/>
        <v/>
      </c>
      <c r="AC404" s="310">
        <f t="shared" ca="1" si="199"/>
        <v>22.000000000000046</v>
      </c>
      <c r="AD404" s="323">
        <f t="shared" ca="1" si="200"/>
        <v>569.75161600242154</v>
      </c>
      <c r="AE404" s="324" t="e">
        <f t="shared" ca="1" si="179"/>
        <v>#N/A</v>
      </c>
      <c r="AG404" s="306">
        <f t="shared" ca="1" si="201"/>
        <v>7.6384418513022014</v>
      </c>
      <c r="AH404" s="304">
        <f t="shared" ca="1" si="202"/>
        <v>-1.595165811261922</v>
      </c>
    </row>
    <row r="405" spans="1:34" x14ac:dyDescent="0.3">
      <c r="A405" s="347">
        <f t="shared" ca="1" si="180"/>
        <v>0.1</v>
      </c>
      <c r="B405" s="304">
        <f t="shared" ca="1" si="181"/>
        <v>22.100000000000048</v>
      </c>
      <c r="D405" s="306">
        <f t="shared" ca="1" si="182"/>
        <v>-0.54419392518692</v>
      </c>
      <c r="E405" s="307">
        <f t="shared" ca="1" si="183"/>
        <v>-8.2682770955276457</v>
      </c>
      <c r="F405" s="304">
        <f t="shared" ca="1" si="184"/>
        <v>8.2861663727345842</v>
      </c>
      <c r="G405" s="306">
        <f t="shared" ca="1" si="185"/>
        <v>21.255542507745808</v>
      </c>
      <c r="H405" s="307">
        <f t="shared" ca="1" si="186"/>
        <v>-61.198792251028074</v>
      </c>
      <c r="I405" s="304">
        <f t="shared" ca="1" si="187"/>
        <v>64.784953965277182</v>
      </c>
      <c r="J405" s="306">
        <f t="shared" ca="1" si="188"/>
        <v>571.87989122282204</v>
      </c>
      <c r="K405" s="307">
        <f t="shared" ca="1" si="189"/>
        <v>1064.4898050404704</v>
      </c>
      <c r="L405" s="304">
        <f t="shared" ca="1" si="174"/>
        <v>1208.3812126229559</v>
      </c>
      <c r="M405" s="306">
        <f t="shared" ca="1" si="190"/>
        <v>-1.2365113485031451</v>
      </c>
      <c r="N405" s="304">
        <f t="shared" ca="1" si="191"/>
        <v>-70.846881589260306</v>
      </c>
      <c r="P405" s="310">
        <f t="shared" ca="1" si="192"/>
        <v>23</v>
      </c>
      <c r="Q405" s="304">
        <f t="shared" ca="1" si="193"/>
        <v>0</v>
      </c>
      <c r="R405" s="306">
        <f t="shared" ca="1" si="194"/>
        <v>0</v>
      </c>
      <c r="S405" s="307">
        <f t="shared" ca="1" si="195"/>
        <v>8.5499999999999989</v>
      </c>
      <c r="T405" s="304">
        <f t="shared" ca="1" si="175"/>
        <v>83.875499999999988</v>
      </c>
      <c r="U405" s="311">
        <f t="shared" ca="1" si="176"/>
        <v>0</v>
      </c>
      <c r="V405" s="306">
        <f t="shared" ca="1" si="177"/>
        <v>1.1011897370177421</v>
      </c>
      <c r="W405" s="304">
        <f t="shared" ca="1" si="178"/>
        <v>14.322443750499637</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7.6156804200301611</v>
      </c>
      <c r="AH405" s="304">
        <f t="shared" ca="1" si="202"/>
        <v>-1.6349484830981744</v>
      </c>
    </row>
    <row r="406" spans="1:34" x14ac:dyDescent="0.3">
      <c r="A406" s="347">
        <f t="shared" ca="1" si="180"/>
        <v>0.1</v>
      </c>
      <c r="B406" s="304">
        <f t="shared" ca="1" si="181"/>
        <v>22.200000000000049</v>
      </c>
      <c r="D406" s="306">
        <f t="shared" ca="1" si="182"/>
        <v>-0.54960294356555395</v>
      </c>
      <c r="E406" s="307">
        <f t="shared" ca="1" si="183"/>
        <v>-8.2275874903421169</v>
      </c>
      <c r="F406" s="304">
        <f t="shared" ca="1" si="184"/>
        <v>8.2459237994787475</v>
      </c>
      <c r="G406" s="306">
        <f t="shared" ca="1" si="185"/>
        <v>21.200582213389254</v>
      </c>
      <c r="H406" s="307">
        <f t="shared" ca="1" si="186"/>
        <v>-62.021551000062288</v>
      </c>
      <c r="I406" s="304">
        <f t="shared" ca="1" si="187"/>
        <v>65.544927146500086</v>
      </c>
      <c r="J406" s="306">
        <f t="shared" ca="1" si="188"/>
        <v>574.00269745887874</v>
      </c>
      <c r="K406" s="307">
        <f t="shared" ca="1" si="189"/>
        <v>1058.3287878779158</v>
      </c>
      <c r="L406" s="304">
        <f t="shared" ca="1" si="174"/>
        <v>1203.9679895832812</v>
      </c>
      <c r="M406" s="306">
        <f t="shared" ca="1" si="190"/>
        <v>-1.2414218936380574</v>
      </c>
      <c r="N406" s="304">
        <f t="shared" ca="1" si="191"/>
        <v>-71.128235100599269</v>
      </c>
      <c r="P406" s="310">
        <f t="shared" ca="1" si="192"/>
        <v>23</v>
      </c>
      <c r="Q406" s="304">
        <f t="shared" ca="1" si="193"/>
        <v>0</v>
      </c>
      <c r="R406" s="306">
        <f t="shared" ca="1" si="194"/>
        <v>0</v>
      </c>
      <c r="S406" s="307">
        <f t="shared" ca="1" si="195"/>
        <v>8.5499999999999989</v>
      </c>
      <c r="T406" s="304">
        <f t="shared" ca="1" si="175"/>
        <v>83.875499999999988</v>
      </c>
      <c r="U406" s="311">
        <f t="shared" ca="1" si="176"/>
        <v>0</v>
      </c>
      <c r="V406" s="306">
        <f t="shared" ca="1" si="177"/>
        <v>1.1018703083507044</v>
      </c>
      <c r="W406" s="304">
        <f t="shared" ca="1" si="178"/>
        <v>14.669500009835218</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7.5918292553371982</v>
      </c>
      <c r="AH406" s="304">
        <f t="shared" ca="1" si="202"/>
        <v>-1.6751396199414783</v>
      </c>
    </row>
    <row r="407" spans="1:34" x14ac:dyDescent="0.3">
      <c r="A407" s="347">
        <f t="shared" ca="1" si="180"/>
        <v>0.1</v>
      </c>
      <c r="B407" s="304">
        <f t="shared" ca="1" si="181"/>
        <v>22.30000000000005</v>
      </c>
      <c r="D407" s="306">
        <f t="shared" ca="1" si="182"/>
        <v>-0.55495516747874296</v>
      </c>
      <c r="E407" s="307">
        <f t="shared" ca="1" si="183"/>
        <v>-8.186498349144701</v>
      </c>
      <c r="F407" s="304">
        <f t="shared" ca="1" si="184"/>
        <v>8.2052867383449968</v>
      </c>
      <c r="G407" s="306">
        <f t="shared" ca="1" si="185"/>
        <v>21.145086696641378</v>
      </c>
      <c r="H407" s="307">
        <f t="shared" ca="1" si="186"/>
        <v>-62.840200834976756</v>
      </c>
      <c r="I407" s="304">
        <f t="shared" ca="1" si="187"/>
        <v>66.302379537907186</v>
      </c>
      <c r="J407" s="306">
        <f t="shared" ca="1" si="188"/>
        <v>576.11998090438033</v>
      </c>
      <c r="K407" s="307">
        <f t="shared" ca="1" si="189"/>
        <v>1052.085700286164</v>
      </c>
      <c r="L407" s="304">
        <f t="shared" ca="1" si="174"/>
        <v>1199.4992926816972</v>
      </c>
      <c r="M407" s="306">
        <f t="shared" ca="1" si="190"/>
        <v>-1.246207646334393</v>
      </c>
      <c r="N407" s="304">
        <f t="shared" ca="1" si="191"/>
        <v>-71.402438531892656</v>
      </c>
      <c r="P407" s="310">
        <f t="shared" ca="1" si="192"/>
        <v>23</v>
      </c>
      <c r="Q407" s="304">
        <f t="shared" ca="1" si="193"/>
        <v>0</v>
      </c>
      <c r="R407" s="306">
        <f t="shared" ca="1" si="194"/>
        <v>0</v>
      </c>
      <c r="S407" s="307">
        <f t="shared" ca="1" si="195"/>
        <v>8.5499999999999989</v>
      </c>
      <c r="T407" s="304">
        <f t="shared" ca="1" si="175"/>
        <v>83.875499999999988</v>
      </c>
      <c r="U407" s="311">
        <f t="shared" ca="1" si="176"/>
        <v>0</v>
      </c>
      <c r="V407" s="306">
        <f t="shared" ca="1" si="177"/>
        <v>1.1025603518626157</v>
      </c>
      <c r="W407" s="304">
        <f t="shared" ca="1" si="178"/>
        <v>15.019907656699161</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7.5669311693942278</v>
      </c>
      <c r="AH407" s="304">
        <f t="shared" ca="1" si="202"/>
        <v>-1.7157309953023649</v>
      </c>
    </row>
    <row r="408" spans="1:34" x14ac:dyDescent="0.3">
      <c r="A408" s="347">
        <f t="shared" ca="1" si="180"/>
        <v>0.1</v>
      </c>
      <c r="B408" s="304">
        <f t="shared" ca="1" si="181"/>
        <v>22.400000000000052</v>
      </c>
      <c r="D408" s="306">
        <f t="shared" ca="1" si="182"/>
        <v>-0.56024953255572274</v>
      </c>
      <c r="E408" s="307">
        <f t="shared" ca="1" si="183"/>
        <v>-8.1450177916699911</v>
      </c>
      <c r="F408" s="304">
        <f t="shared" ca="1" si="184"/>
        <v>8.1642632469408785</v>
      </c>
      <c r="G408" s="306">
        <f t="shared" ca="1" si="185"/>
        <v>21.089061743385805</v>
      </c>
      <c r="H408" s="307">
        <f t="shared" ca="1" si="186"/>
        <v>-63.654702614143751</v>
      </c>
      <c r="I408" s="304">
        <f t="shared" ca="1" si="187"/>
        <v>67.057212066349862</v>
      </c>
      <c r="J408" s="306">
        <f t="shared" ca="1" si="188"/>
        <v>578.23168832638169</v>
      </c>
      <c r="K408" s="307">
        <f t="shared" ca="1" si="189"/>
        <v>1045.760955113708</v>
      </c>
      <c r="L408" s="304">
        <f t="shared" ca="1" si="174"/>
        <v>1194.9760920726039</v>
      </c>
      <c r="M408" s="306">
        <f t="shared" ca="1" si="190"/>
        <v>-1.2508732242272524</v>
      </c>
      <c r="N408" s="304">
        <f t="shared" ca="1" si="191"/>
        <v>-71.669756454143041</v>
      </c>
      <c r="P408" s="310">
        <f t="shared" ca="1" si="192"/>
        <v>23</v>
      </c>
      <c r="Q408" s="304">
        <f t="shared" ca="1" si="193"/>
        <v>0</v>
      </c>
      <c r="R408" s="306">
        <f t="shared" ca="1" si="194"/>
        <v>0</v>
      </c>
      <c r="S408" s="307">
        <f t="shared" ca="1" si="195"/>
        <v>8.5499999999999989</v>
      </c>
      <c r="T408" s="304">
        <f t="shared" ca="1" si="175"/>
        <v>83.875499999999988</v>
      </c>
      <c r="U408" s="311">
        <f t="shared" ca="1" si="176"/>
        <v>0</v>
      </c>
      <c r="V408" s="306">
        <f t="shared" ca="1" si="177"/>
        <v>1.1032598383829861</v>
      </c>
      <c r="W408" s="304">
        <f t="shared" ca="1" si="178"/>
        <v>15.373595749879501</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7.5410269190941843</v>
      </c>
      <c r="AH408" s="304">
        <f t="shared" ca="1" si="202"/>
        <v>-1.7567143458127676</v>
      </c>
    </row>
    <row r="409" spans="1:34" x14ac:dyDescent="0.3">
      <c r="A409" s="347">
        <f t="shared" ca="1" si="180"/>
        <v>0.1</v>
      </c>
      <c r="B409" s="304">
        <f t="shared" ca="1" si="181"/>
        <v>22.500000000000053</v>
      </c>
      <c r="D409" s="306">
        <f t="shared" ca="1" si="182"/>
        <v>-0.56548502320338057</v>
      </c>
      <c r="E409" s="307">
        <f t="shared" ca="1" si="183"/>
        <v>-8.1031539855701382</v>
      </c>
      <c r="F409" s="304">
        <f t="shared" ca="1" si="184"/>
        <v>8.122861430883118</v>
      </c>
      <c r="G409" s="306">
        <f t="shared" ca="1" si="185"/>
        <v>21.032513241065466</v>
      </c>
      <c r="H409" s="307">
        <f t="shared" ca="1" si="186"/>
        <v>-64.465018012700767</v>
      </c>
      <c r="I409" s="304">
        <f t="shared" ca="1" si="187"/>
        <v>67.809329451141366</v>
      </c>
      <c r="J409" s="306">
        <f t="shared" ca="1" si="188"/>
        <v>580.33776707560423</v>
      </c>
      <c r="K409" s="307">
        <f t="shared" ca="1" si="189"/>
        <v>1039.3549690823656</v>
      </c>
      <c r="L409" s="304">
        <f t="shared" ca="1" si="174"/>
        <v>1190.3993765331463</v>
      </c>
      <c r="M409" s="306">
        <f t="shared" ca="1" si="190"/>
        <v>-1.2554230296167517</v>
      </c>
      <c r="N409" s="304">
        <f t="shared" ca="1" si="191"/>
        <v>-71.930441100567222</v>
      </c>
      <c r="P409" s="310">
        <f t="shared" ca="1" si="192"/>
        <v>23</v>
      </c>
      <c r="Q409" s="304">
        <f t="shared" ca="1" si="193"/>
        <v>0</v>
      </c>
      <c r="R409" s="306">
        <f t="shared" ca="1" si="194"/>
        <v>0</v>
      </c>
      <c r="S409" s="307">
        <f t="shared" ca="1" si="195"/>
        <v>8.5499999999999989</v>
      </c>
      <c r="T409" s="304">
        <f t="shared" ca="1" si="175"/>
        <v>83.875499999999988</v>
      </c>
      <c r="U409" s="311">
        <f t="shared" ca="1" si="176"/>
        <v>0</v>
      </c>
      <c r="V409" s="306">
        <f t="shared" ca="1" si="177"/>
        <v>1.1039687384430847</v>
      </c>
      <c r="W409" s="304">
        <f t="shared" ca="1" si="178"/>
        <v>15.730493084586088</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7.514155347231279</v>
      </c>
      <c r="AH409" s="304">
        <f t="shared" ca="1" si="202"/>
        <v>-1.7980813742549127</v>
      </c>
    </row>
    <row r="410" spans="1:34" x14ac:dyDescent="0.3">
      <c r="A410" s="347">
        <f t="shared" ca="1" si="180"/>
        <v>0.1</v>
      </c>
      <c r="B410" s="304">
        <f t="shared" ca="1" si="181"/>
        <v>22.600000000000055</v>
      </c>
      <c r="D410" s="306">
        <f t="shared" ca="1" si="182"/>
        <v>-0.57066067089358163</v>
      </c>
      <c r="E410" s="307">
        <f t="shared" ca="1" si="183"/>
        <v>-8.060915142348863</v>
      </c>
      <c r="F410" s="304">
        <f t="shared" ca="1" si="184"/>
        <v>8.0810894397632982</v>
      </c>
      <c r="G410" s="306">
        <f t="shared" ca="1" si="185"/>
        <v>20.975447173976107</v>
      </c>
      <c r="H410" s="307">
        <f t="shared" ca="1" si="186"/>
        <v>-65.27110952693566</v>
      </c>
      <c r="I410" s="304">
        <f t="shared" ca="1" si="187"/>
        <v>68.558640031913512</v>
      </c>
      <c r="J410" s="306">
        <f t="shared" ca="1" si="188"/>
        <v>582.43816509635633</v>
      </c>
      <c r="K410" s="307">
        <f t="shared" ca="1" si="189"/>
        <v>1032.8681627053838</v>
      </c>
      <c r="L410" s="304">
        <f t="shared" ca="1" si="174"/>
        <v>1185.7701538203792</v>
      </c>
      <c r="M410" s="306">
        <f t="shared" ca="1" si="190"/>
        <v>-1.2598612612070099</v>
      </c>
      <c r="N410" s="304">
        <f t="shared" ca="1" si="191"/>
        <v>-72.184733039190661</v>
      </c>
      <c r="P410" s="310">
        <f t="shared" ca="1" si="192"/>
        <v>23</v>
      </c>
      <c r="Q410" s="304">
        <f t="shared" ca="1" si="193"/>
        <v>0</v>
      </c>
      <c r="R410" s="306">
        <f t="shared" ca="1" si="194"/>
        <v>0</v>
      </c>
      <c r="S410" s="307">
        <f t="shared" ca="1" si="195"/>
        <v>8.5499999999999989</v>
      </c>
      <c r="T410" s="304">
        <f t="shared" ca="1" si="175"/>
        <v>83.875499999999988</v>
      </c>
      <c r="U410" s="311">
        <f t="shared" ca="1" si="176"/>
        <v>0</v>
      </c>
      <c r="V410" s="306">
        <f t="shared" ca="1" si="177"/>
        <v>1.1046870222809071</v>
      </c>
      <c r="W410" s="304">
        <f t="shared" ca="1" si="178"/>
        <v>16.090528218209734</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7.4863535127481278</v>
      </c>
      <c r="AH410" s="304">
        <f t="shared" ca="1" si="202"/>
        <v>-1.8398237525831684</v>
      </c>
    </row>
    <row r="411" spans="1:34" x14ac:dyDescent="0.3">
      <c r="A411" s="347">
        <f t="shared" ca="1" si="180"/>
        <v>0.1</v>
      </c>
      <c r="B411" s="304">
        <f t="shared" ca="1" si="181"/>
        <v>22.700000000000056</v>
      </c>
      <c r="D411" s="306">
        <f t="shared" ca="1" si="182"/>
        <v>-0.57577555255898938</v>
      </c>
      <c r="E411" s="307">
        <f t="shared" ca="1" si="183"/>
        <v>-8.0183095133897098</v>
      </c>
      <c r="F411" s="304">
        <f t="shared" ca="1" si="184"/>
        <v>8.038955463207925</v>
      </c>
      <c r="G411" s="306">
        <f t="shared" ca="1" si="185"/>
        <v>20.917869618720207</v>
      </c>
      <c r="H411" s="307">
        <f t="shared" ca="1" si="186"/>
        <v>-66.072940478274631</v>
      </c>
      <c r="I411" s="304">
        <f t="shared" ca="1" si="187"/>
        <v>69.30505560802473</v>
      </c>
      <c r="J411" s="306">
        <f t="shared" ca="1" si="188"/>
        <v>584.53283093599111</v>
      </c>
      <c r="K411" s="307">
        <f t="shared" ca="1" si="189"/>
        <v>1026.3009602051234</v>
      </c>
      <c r="L411" s="304">
        <f t="shared" ca="1" si="174"/>
        <v>1181.0894510408609</v>
      </c>
      <c r="M411" s="306">
        <f t="shared" ca="1" si="190"/>
        <v>-1.264191925137327</v>
      </c>
      <c r="N411" s="304">
        <f t="shared" ca="1" si="191"/>
        <v>-72.432861804887366</v>
      </c>
      <c r="P411" s="310">
        <f t="shared" ca="1" si="192"/>
        <v>23</v>
      </c>
      <c r="Q411" s="304">
        <f t="shared" ca="1" si="193"/>
        <v>0</v>
      </c>
      <c r="R411" s="306">
        <f t="shared" ca="1" si="194"/>
        <v>0</v>
      </c>
      <c r="S411" s="307">
        <f t="shared" ca="1" si="195"/>
        <v>8.5499999999999989</v>
      </c>
      <c r="T411" s="304">
        <f t="shared" ca="1" si="175"/>
        <v>83.875499999999988</v>
      </c>
      <c r="U411" s="311">
        <f t="shared" ca="1" si="176"/>
        <v>0</v>
      </c>
      <c r="V411" s="306">
        <f t="shared" ca="1" si="177"/>
        <v>1.105414659846188</v>
      </c>
      <c r="W411" s="304">
        <f t="shared" ca="1" si="178"/>
        <v>16.453629495986814</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7.4576568109367667</v>
      </c>
      <c r="AH411" s="304">
        <f t="shared" ca="1" si="202"/>
        <v>-1.8819331249368112</v>
      </c>
    </row>
    <row r="412" spans="1:34" x14ac:dyDescent="0.3">
      <c r="A412" s="347">
        <f t="shared" ca="1" si="180"/>
        <v>0.1</v>
      </c>
      <c r="B412" s="304">
        <f t="shared" ca="1" si="181"/>
        <v>22.800000000000058</v>
      </c>
      <c r="D412" s="306">
        <f t="shared" ca="1" si="182"/>
        <v>-0.58082878908855706</v>
      </c>
      <c r="E412" s="307">
        <f t="shared" ca="1" si="183"/>
        <v>-7.975345386072612</v>
      </c>
      <c r="F412" s="304">
        <f t="shared" ca="1" si="184"/>
        <v>7.996467727026964</v>
      </c>
      <c r="G412" s="306">
        <f t="shared" ca="1" si="185"/>
        <v>20.859786739811351</v>
      </c>
      <c r="H412" s="307">
        <f t="shared" ca="1" si="186"/>
        <v>-66.870475016881898</v>
      </c>
      <c r="I412" s="304">
        <f t="shared" ca="1" si="187"/>
        <v>70.048491288634011</v>
      </c>
      <c r="J412" s="306">
        <f t="shared" ca="1" si="188"/>
        <v>586.62171375391767</v>
      </c>
      <c r="K412" s="307">
        <f t="shared" ca="1" si="189"/>
        <v>1019.6537894303656</v>
      </c>
      <c r="L412" s="304">
        <f t="shared" ca="1" si="174"/>
        <v>1176.3583150330037</v>
      </c>
      <c r="M412" s="306">
        <f t="shared" ca="1" si="190"/>
        <v>-1.2684188453500154</v>
      </c>
      <c r="N412" s="304">
        <f t="shared" ca="1" si="191"/>
        <v>-72.67504649341295</v>
      </c>
      <c r="P412" s="310">
        <f t="shared" ca="1" si="192"/>
        <v>23</v>
      </c>
      <c r="Q412" s="304">
        <f t="shared" ca="1" si="193"/>
        <v>0</v>
      </c>
      <c r="R412" s="306">
        <f t="shared" ca="1" si="194"/>
        <v>0</v>
      </c>
      <c r="S412" s="307">
        <f t="shared" ca="1" si="195"/>
        <v>8.5499999999999989</v>
      </c>
      <c r="T412" s="304">
        <f t="shared" ca="1" si="175"/>
        <v>83.875499999999988</v>
      </c>
      <c r="U412" s="311">
        <f t="shared" ca="1" si="176"/>
        <v>0</v>
      </c>
      <c r="V412" s="306">
        <f t="shared" ca="1" si="177"/>
        <v>1.1061516208054494</v>
      </c>
      <c r="W412" s="304">
        <f t="shared" ca="1" si="178"/>
        <v>16.819725076552906</v>
      </c>
      <c r="Y412" s="314" t="str">
        <f t="shared" ca="1" si="196"/>
        <v/>
      </c>
      <c r="Z412" s="315" t="str">
        <f t="shared" ca="1" si="197"/>
        <v/>
      </c>
      <c r="AA412" s="316" t="str">
        <f t="shared" ca="1" si="198"/>
        <v/>
      </c>
      <c r="AC412" s="310" t="e">
        <f t="shared" ca="1" si="199"/>
        <v>#N/A</v>
      </c>
      <c r="AD412" s="323" t="e">
        <f t="shared" ca="1" si="200"/>
        <v>#N/A</v>
      </c>
      <c r="AE412" s="324" t="e">
        <f t="shared" ca="1" si="179"/>
        <v>#N/A</v>
      </c>
      <c r="AG412" s="306">
        <f t="shared" ca="1" si="201"/>
        <v>7.4280990844064165</v>
      </c>
      <c r="AH412" s="304">
        <f t="shared" ca="1" si="202"/>
        <v>-1.9244011106417329</v>
      </c>
    </row>
    <row r="413" spans="1:34" x14ac:dyDescent="0.3">
      <c r="A413" s="347">
        <f t="shared" ca="1" si="180"/>
        <v>0.1</v>
      </c>
      <c r="B413" s="304">
        <f t="shared" ca="1" si="181"/>
        <v>22.900000000000059</v>
      </c>
      <c r="D413" s="306">
        <f t="shared" ca="1" si="182"/>
        <v>-0.58581954391461044</v>
      </c>
      <c r="E413" s="307">
        <f t="shared" ca="1" si="183"/>
        <v>-7.9320310799736697</v>
      </c>
      <c r="F413" s="304">
        <f t="shared" ca="1" si="184"/>
        <v>7.9536344894457267</v>
      </c>
      <c r="G413" s="306">
        <f t="shared" ca="1" si="185"/>
        <v>20.801204785419891</v>
      </c>
      <c r="H413" s="307">
        <f t="shared" ca="1" si="186"/>
        <v>-67.663678124879269</v>
      </c>
      <c r="I413" s="304">
        <f t="shared" ca="1" si="187"/>
        <v>70.788865352626189</v>
      </c>
      <c r="J413" s="306">
        <f t="shared" ca="1" si="188"/>
        <v>588.70476333017928</v>
      </c>
      <c r="K413" s="307">
        <f t="shared" ca="1" si="189"/>
        <v>1012.9270817732776</v>
      </c>
      <c r="L413" s="304">
        <f t="shared" ca="1" si="174"/>
        <v>1171.5778127625031</v>
      </c>
      <c r="M413" s="306">
        <f t="shared" ca="1" si="190"/>
        <v>-1.2725456733367275</v>
      </c>
      <c r="N413" s="304">
        <f t="shared" ca="1" si="191"/>
        <v>-72.911496319828018</v>
      </c>
      <c r="P413" s="310">
        <f t="shared" ca="1" si="192"/>
        <v>23</v>
      </c>
      <c r="Q413" s="304">
        <f t="shared" ca="1" si="193"/>
        <v>0</v>
      </c>
      <c r="R413" s="306">
        <f t="shared" ca="1" si="194"/>
        <v>0</v>
      </c>
      <c r="S413" s="307">
        <f t="shared" ca="1" si="195"/>
        <v>8.5499999999999989</v>
      </c>
      <c r="T413" s="304">
        <f t="shared" ca="1" si="175"/>
        <v>83.875499999999988</v>
      </c>
      <c r="U413" s="311">
        <f t="shared" ca="1" si="176"/>
        <v>0</v>
      </c>
      <c r="V413" s="306">
        <f t="shared" ca="1" si="177"/>
        <v>1.1068978745470859</v>
      </c>
      <c r="W413" s="304">
        <f t="shared" ca="1" si="178"/>
        <v>17.188742957369442</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7.3977127255632968</v>
      </c>
      <c r="AH413" s="304">
        <f t="shared" ca="1" si="202"/>
        <v>-1.9672193071991706</v>
      </c>
    </row>
    <row r="414" spans="1:34" x14ac:dyDescent="0.3">
      <c r="A414" s="347">
        <f t="shared" ca="1" si="180"/>
        <v>0.1</v>
      </c>
      <c r="B414" s="304">
        <f t="shared" ca="1" si="181"/>
        <v>23.00000000000006</v>
      </c>
      <c r="D414" s="306">
        <f t="shared" ca="1" si="182"/>
        <v>-0.59074702168409476</v>
      </c>
      <c r="E414" s="307">
        <f t="shared" ca="1" si="183"/>
        <v>-7.8883749431436225</v>
      </c>
      <c r="F414" s="304">
        <f t="shared" ca="1" si="184"/>
        <v>7.9104640374155535</v>
      </c>
      <c r="G414" s="306">
        <f t="shared" ca="1" si="185"/>
        <v>20.742130083251482</v>
      </c>
      <c r="H414" s="307">
        <f t="shared" ca="1" si="186"/>
        <v>-68.452515619193633</v>
      </c>
      <c r="I414" s="304">
        <f t="shared" ca="1" si="187"/>
        <v>71.526099117640086</v>
      </c>
      <c r="J414" s="306">
        <f t="shared" ca="1" si="188"/>
        <v>590.7819300736129</v>
      </c>
      <c r="K414" s="307">
        <f t="shared" ca="1" si="189"/>
        <v>1006.1212720860739</v>
      </c>
      <c r="L414" s="304">
        <f t="shared" ca="1" si="174"/>
        <v>1166.7490317311615</v>
      </c>
      <c r="M414" s="306">
        <f t="shared" ca="1" si="190"/>
        <v>-1.2765758973025878</v>
      </c>
      <c r="N414" s="304">
        <f t="shared" ca="1" si="191"/>
        <v>-73.142411143564289</v>
      </c>
      <c r="P414" s="310">
        <f t="shared" ca="1" si="192"/>
        <v>23</v>
      </c>
      <c r="Q414" s="304">
        <f t="shared" ca="1" si="193"/>
        <v>0</v>
      </c>
      <c r="R414" s="306">
        <f t="shared" ca="1" si="194"/>
        <v>0</v>
      </c>
      <c r="S414" s="307">
        <f t="shared" ca="1" si="195"/>
        <v>8.5499999999999989</v>
      </c>
      <c r="T414" s="304">
        <f t="shared" ca="1" si="175"/>
        <v>83.875499999999988</v>
      </c>
      <c r="U414" s="311">
        <f t="shared" ca="1" si="176"/>
        <v>0</v>
      </c>
      <c r="V414" s="306">
        <f t="shared" ca="1" si="177"/>
        <v>1.107653390186484</v>
      </c>
      <c r="W414" s="304">
        <f t="shared" ca="1" si="178"/>
        <v>17.560611000007739</v>
      </c>
      <c r="Y414" s="314" t="str">
        <f t="shared" ca="1" si="196"/>
        <v/>
      </c>
      <c r="Z414" s="315" t="str">
        <f t="shared" ca="1" si="197"/>
        <v/>
      </c>
      <c r="AA414" s="316" t="str">
        <f t="shared" ca="1" si="198"/>
        <v/>
      </c>
      <c r="AC414" s="310">
        <f t="shared" ca="1" si="199"/>
        <v>23.00000000000006</v>
      </c>
      <c r="AD414" s="323">
        <f t="shared" ca="1" si="200"/>
        <v>590.7819300736129</v>
      </c>
      <c r="AE414" s="324" t="e">
        <f t="shared" ca="1" si="179"/>
        <v>#N/A</v>
      </c>
      <c r="AG414" s="306">
        <f t="shared" ca="1" si="201"/>
        <v>7.3665287712859104</v>
      </c>
      <c r="AH414" s="304">
        <f t="shared" ca="1" si="202"/>
        <v>-2.0103792932595841</v>
      </c>
    </row>
    <row r="415" spans="1:34" x14ac:dyDescent="0.3">
      <c r="A415" s="347">
        <f t="shared" ca="1" si="180"/>
        <v>0.1</v>
      </c>
      <c r="B415" s="304">
        <f t="shared" ca="1" si="181"/>
        <v>23.100000000000062</v>
      </c>
      <c r="D415" s="306">
        <f t="shared" ca="1" si="182"/>
        <v>-0.59561046700717846</v>
      </c>
      <c r="E415" s="307">
        <f t="shared" ca="1" si="183"/>
        <v>-7.8443853484611381</v>
      </c>
      <c r="F415" s="304">
        <f t="shared" ca="1" si="184"/>
        <v>7.8669646829994271</v>
      </c>
      <c r="G415" s="306">
        <f t="shared" ca="1" si="185"/>
        <v>20.682569036550763</v>
      </c>
      <c r="H415" s="307">
        <f t="shared" ca="1" si="186"/>
        <v>-69.236954154039751</v>
      </c>
      <c r="I415" s="304">
        <f t="shared" ca="1" si="187"/>
        <v>72.260116817510678</v>
      </c>
      <c r="J415" s="306">
        <f t="shared" ca="1" si="188"/>
        <v>592.85316502960302</v>
      </c>
      <c r="K415" s="307">
        <f t="shared" ca="1" si="189"/>
        <v>999.23679859741219</v>
      </c>
      <c r="L415" s="304">
        <f t="shared" ca="1" si="174"/>
        <v>1161.873080399414</v>
      </c>
      <c r="M415" s="306">
        <f t="shared" ca="1" si="190"/>
        <v>-1.2805128507850219</v>
      </c>
      <c r="N415" s="304">
        <f t="shared" ca="1" si="191"/>
        <v>-73.3679819622471</v>
      </c>
      <c r="P415" s="310">
        <f t="shared" ca="1" si="192"/>
        <v>23</v>
      </c>
      <c r="Q415" s="304">
        <f t="shared" ca="1" si="193"/>
        <v>0</v>
      </c>
      <c r="R415" s="306">
        <f t="shared" ca="1" si="194"/>
        <v>0</v>
      </c>
      <c r="S415" s="307">
        <f t="shared" ca="1" si="195"/>
        <v>8.5499999999999989</v>
      </c>
      <c r="T415" s="304">
        <f t="shared" ca="1" si="175"/>
        <v>83.875499999999988</v>
      </c>
      <c r="U415" s="311">
        <f t="shared" ca="1" si="176"/>
        <v>0</v>
      </c>
      <c r="V415" s="306">
        <f t="shared" ca="1" si="177"/>
        <v>1.1084181365711741</v>
      </c>
      <c r="W415" s="304">
        <f t="shared" ca="1" si="178"/>
        <v>17.93525695527547</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7.3345769904222013</v>
      </c>
      <c r="AH415" s="304">
        <f t="shared" ca="1" si="202"/>
        <v>-2.053872631579853</v>
      </c>
    </row>
    <row r="416" spans="1:34" x14ac:dyDescent="0.3">
      <c r="A416" s="347">
        <f t="shared" ca="1" si="180"/>
        <v>0.1</v>
      </c>
      <c r="B416" s="304">
        <f t="shared" ca="1" si="181"/>
        <v>23.200000000000063</v>
      </c>
      <c r="D416" s="306">
        <f t="shared" ca="1" si="182"/>
        <v>-0.60040916327696514</v>
      </c>
      <c r="E416" s="307">
        <f t="shared" ca="1" si="183"/>
        <v>-7.8000706900575008</v>
      </c>
      <c r="F416" s="304">
        <f t="shared" ca="1" si="184"/>
        <v>7.82314475982907</v>
      </c>
      <c r="G416" s="306">
        <f t="shared" ca="1" si="185"/>
        <v>20.622528120223066</v>
      </c>
      <c r="H416" s="307">
        <f t="shared" ca="1" si="186"/>
        <v>-70.016961223045499</v>
      </c>
      <c r="I416" s="304">
        <f t="shared" ca="1" si="187"/>
        <v>72.990845487491427</v>
      </c>
      <c r="J416" s="306">
        <f t="shared" ca="1" si="188"/>
        <v>594.9184198874417</v>
      </c>
      <c r="K416" s="307">
        <f t="shared" ca="1" si="189"/>
        <v>992.27410282855794</v>
      </c>
      <c r="L416" s="304">
        <f t="shared" ca="1" si="174"/>
        <v>1156.9510886228468</v>
      </c>
      <c r="M416" s="306">
        <f t="shared" ca="1" si="190"/>
        <v>-1.2843597207618738</v>
      </c>
      <c r="N416" s="304">
        <f t="shared" ca="1" si="191"/>
        <v>-73.588391376256297</v>
      </c>
      <c r="P416" s="310">
        <f t="shared" ca="1" si="192"/>
        <v>23</v>
      </c>
      <c r="Q416" s="304">
        <f t="shared" ca="1" si="193"/>
        <v>0</v>
      </c>
      <c r="R416" s="306">
        <f t="shared" ca="1" si="194"/>
        <v>0</v>
      </c>
      <c r="S416" s="307">
        <f t="shared" ca="1" si="195"/>
        <v>8.5499999999999989</v>
      </c>
      <c r="T416" s="304">
        <f t="shared" ca="1" si="175"/>
        <v>83.875499999999988</v>
      </c>
      <c r="U416" s="311">
        <f t="shared" ca="1" si="176"/>
        <v>0</v>
      </c>
      <c r="V416" s="306">
        <f t="shared" ca="1" si="177"/>
        <v>1.1091920822860066</v>
      </c>
      <c r="W416" s="304">
        <f t="shared" ca="1" si="178"/>
        <v>18.312608488170589</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7.3018859646828833</v>
      </c>
      <c r="AH416" s="304">
        <f t="shared" ca="1" si="202"/>
        <v>-2.0976908719620435</v>
      </c>
    </row>
    <row r="417" spans="1:34" x14ac:dyDescent="0.3">
      <c r="A417" s="347">
        <f t="shared" ca="1" si="180"/>
        <v>0.1</v>
      </c>
      <c r="B417" s="304">
        <f t="shared" ca="1" si="181"/>
        <v>23.300000000000065</v>
      </c>
      <c r="D417" s="306">
        <f t="shared" ca="1" si="182"/>
        <v>-0.60514243155456904</v>
      </c>
      <c r="E417" s="307">
        <f t="shared" ca="1" si="183"/>
        <v>-7.7554393798097827</v>
      </c>
      <c r="F417" s="304">
        <f t="shared" ca="1" si="184"/>
        <v>7.7790126196305991</v>
      </c>
      <c r="G417" s="306">
        <f t="shared" ca="1" si="185"/>
        <v>20.56201387706761</v>
      </c>
      <c r="H417" s="307">
        <f t="shared" ca="1" si="186"/>
        <v>-70.792505161026483</v>
      </c>
      <c r="I417" s="304">
        <f t="shared" ca="1" si="187"/>
        <v>73.718214856673526</v>
      </c>
      <c r="J417" s="306">
        <f t="shared" ca="1" si="188"/>
        <v>596.97764698730623</v>
      </c>
      <c r="K417" s="307">
        <f t="shared" ca="1" si="189"/>
        <v>985.23362950935439</v>
      </c>
      <c r="L417" s="304">
        <f t="shared" ca="1" si="174"/>
        <v>1151.9842081029917</v>
      </c>
      <c r="M417" s="306">
        <f t="shared" ca="1" si="190"/>
        <v>-1.2881195552812119</v>
      </c>
      <c r="N417" s="304">
        <f t="shared" ca="1" si="191"/>
        <v>-73.803814025881977</v>
      </c>
      <c r="P417" s="310">
        <f t="shared" ca="1" si="192"/>
        <v>23</v>
      </c>
      <c r="Q417" s="304">
        <f t="shared" ca="1" si="193"/>
        <v>0</v>
      </c>
      <c r="R417" s="306">
        <f t="shared" ca="1" si="194"/>
        <v>0</v>
      </c>
      <c r="S417" s="307">
        <f t="shared" ca="1" si="195"/>
        <v>8.5499999999999989</v>
      </c>
      <c r="T417" s="304">
        <f t="shared" ca="1" si="175"/>
        <v>83.875499999999988</v>
      </c>
      <c r="U417" s="311">
        <f t="shared" ca="1" si="176"/>
        <v>0</v>
      </c>
      <c r="V417" s="306">
        <f t="shared" ca="1" si="177"/>
        <v>1.1099751956583599</v>
      </c>
      <c r="W417" s="304">
        <f t="shared" ca="1" si="178"/>
        <v>18.692593202648609</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7.2684831634573355</v>
      </c>
      <c r="AH417" s="304">
        <f t="shared" ca="1" si="202"/>
        <v>-2.1418255541719988</v>
      </c>
    </row>
    <row r="418" spans="1:34" x14ac:dyDescent="0.3">
      <c r="A418" s="347">
        <f t="shared" ca="1" si="180"/>
        <v>0.1</v>
      </c>
      <c r="B418" s="304">
        <f t="shared" ca="1" si="181"/>
        <v>23.400000000000066</v>
      </c>
      <c r="D418" s="306">
        <f t="shared" ca="1" si="182"/>
        <v>-0.60980962951429896</v>
      </c>
      <c r="E418" s="307">
        <f t="shared" ca="1" si="183"/>
        <v>-7.7104998438999601</v>
      </c>
      <c r="F418" s="304">
        <f t="shared" ca="1" si="184"/>
        <v>7.7345766288161935</v>
      </c>
      <c r="G418" s="306">
        <f t="shared" ca="1" si="185"/>
        <v>20.50103291411618</v>
      </c>
      <c r="H418" s="307">
        <f t="shared" ca="1" si="186"/>
        <v>-71.563555145416473</v>
      </c>
      <c r="I418" s="304">
        <f t="shared" ca="1" si="187"/>
        <v>74.442157247064912</v>
      </c>
      <c r="J418" s="306">
        <f t="shared" ca="1" si="188"/>
        <v>599.03079932686546</v>
      </c>
      <c r="K418" s="307">
        <f t="shared" ca="1" si="189"/>
        <v>978.11582649403226</v>
      </c>
      <c r="L418" s="304">
        <f t="shared" ca="1" si="174"/>
        <v>1146.9736128526615</v>
      </c>
      <c r="M418" s="306">
        <f t="shared" ca="1" si="190"/>
        <v>-1.2917952706431621</v>
      </c>
      <c r="N418" s="304">
        <f t="shared" ca="1" si="191"/>
        <v>-74.014417002813119</v>
      </c>
      <c r="P418" s="310">
        <f t="shared" ca="1" si="192"/>
        <v>23</v>
      </c>
      <c r="Q418" s="304">
        <f t="shared" ca="1" si="193"/>
        <v>0</v>
      </c>
      <c r="R418" s="306">
        <f t="shared" ca="1" si="194"/>
        <v>0</v>
      </c>
      <c r="S418" s="307">
        <f t="shared" ca="1" si="195"/>
        <v>8.5499999999999989</v>
      </c>
      <c r="T418" s="304">
        <f t="shared" ca="1" si="175"/>
        <v>83.875499999999988</v>
      </c>
      <c r="U418" s="311">
        <f t="shared" ca="1" si="176"/>
        <v>0</v>
      </c>
      <c r="V418" s="306">
        <f t="shared" ca="1" si="177"/>
        <v>1.1107674447633711</v>
      </c>
      <c r="W418" s="304">
        <f t="shared" ca="1" si="178"/>
        <v>19.07513866618936</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7.2343950130346961</v>
      </c>
      <c r="AH418" s="304">
        <f t="shared" ca="1" si="202"/>
        <v>-2.1862682108360949</v>
      </c>
    </row>
    <row r="419" spans="1:34" x14ac:dyDescent="0.3">
      <c r="A419" s="347">
        <f t="shared" ca="1" si="180"/>
        <v>0.1</v>
      </c>
      <c r="B419" s="304">
        <f t="shared" ca="1" si="181"/>
        <v>23.500000000000068</v>
      </c>
      <c r="D419" s="306">
        <f t="shared" ca="1" si="182"/>
        <v>-0.61441015044410707</v>
      </c>
      <c r="E419" s="307">
        <f t="shared" ca="1" si="183"/>
        <v>-7.6652605194377816</v>
      </c>
      <c r="F419" s="304">
        <f t="shared" ca="1" si="184"/>
        <v>7.6898451651395634</v>
      </c>
      <c r="G419" s="306">
        <f t="shared" ca="1" si="185"/>
        <v>20.439591899071768</v>
      </c>
      <c r="H419" s="307">
        <f t="shared" ca="1" si="186"/>
        <v>-72.330081197360258</v>
      </c>
      <c r="I419" s="304">
        <f t="shared" ca="1" si="187"/>
        <v>75.162607478834374</v>
      </c>
      <c r="J419" s="306">
        <f t="shared" ca="1" si="188"/>
        <v>601.07783056752487</v>
      </c>
      <c r="K419" s="307">
        <f t="shared" ca="1" si="189"/>
        <v>970.92114467689339</v>
      </c>
      <c r="L419" s="304">
        <f t="shared" ca="1" si="174"/>
        <v>1141.9204996760725</v>
      </c>
      <c r="M419" s="306">
        <f t="shared" ca="1" si="190"/>
        <v>-1.2953896581621502</v>
      </c>
      <c r="N419" s="304">
        <f t="shared" ca="1" si="191"/>
        <v>-74.220360237585638</v>
      </c>
      <c r="P419" s="310">
        <f t="shared" ca="1" si="192"/>
        <v>23</v>
      </c>
      <c r="Q419" s="304">
        <f t="shared" ca="1" si="193"/>
        <v>0</v>
      </c>
      <c r="R419" s="306">
        <f t="shared" ca="1" si="194"/>
        <v>0</v>
      </c>
      <c r="S419" s="307">
        <f t="shared" ca="1" si="195"/>
        <v>8.5499999999999989</v>
      </c>
      <c r="T419" s="304">
        <f t="shared" ca="1" si="175"/>
        <v>83.875499999999988</v>
      </c>
      <c r="U419" s="311">
        <f t="shared" ca="1" si="176"/>
        <v>0</v>
      </c>
      <c r="V419" s="306">
        <f t="shared" ca="1" si="177"/>
        <v>1.1115687974291872</v>
      </c>
      <c r="W419" s="304">
        <f t="shared" ca="1" si="178"/>
        <v>19.460172434149637</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7.1996469606726681</v>
      </c>
      <c r="AH419" s="304">
        <f t="shared" ca="1" si="202"/>
        <v>-2.2310103703145452</v>
      </c>
    </row>
    <row r="420" spans="1:34" x14ac:dyDescent="0.3">
      <c r="A420" s="347">
        <f t="shared" ca="1" si="180"/>
        <v>0.1</v>
      </c>
      <c r="B420" s="304">
        <f t="shared" ca="1" si="181"/>
        <v>23.600000000000069</v>
      </c>
      <c r="D420" s="306">
        <f t="shared" ca="1" si="182"/>
        <v>-0.61894342229686661</v>
      </c>
      <c r="E420" s="307">
        <f t="shared" ca="1" si="183"/>
        <v>-7.6197298511455376</v>
      </c>
      <c r="F420" s="304">
        <f t="shared" ca="1" si="184"/>
        <v>7.6448266144133674</v>
      </c>
      <c r="G420" s="306">
        <f t="shared" ca="1" si="185"/>
        <v>20.377697556842083</v>
      </c>
      <c r="H420" s="307">
        <f t="shared" ca="1" si="186"/>
        <v>-73.092054182474811</v>
      </c>
      <c r="I420" s="304">
        <f t="shared" ca="1" si="187"/>
        <v>75.879502781264733</v>
      </c>
      <c r="J420" s="306">
        <f t="shared" ca="1" si="188"/>
        <v>603.11869504032052</v>
      </c>
      <c r="K420" s="307">
        <f t="shared" ca="1" si="189"/>
        <v>963.65003790790161</v>
      </c>
      <c r="L420" s="304">
        <f t="shared" ca="1" si="174"/>
        <v>1136.8260886639782</v>
      </c>
      <c r="M420" s="306">
        <f t="shared" ca="1" si="190"/>
        <v>-1.2989053905360974</v>
      </c>
      <c r="N420" s="304">
        <f t="shared" ca="1" si="191"/>
        <v>-74.421796864510327</v>
      </c>
      <c r="P420" s="310">
        <f t="shared" ca="1" si="192"/>
        <v>23</v>
      </c>
      <c r="Q420" s="304">
        <f t="shared" ca="1" si="193"/>
        <v>0</v>
      </c>
      <c r="R420" s="306">
        <f t="shared" ca="1" si="194"/>
        <v>0</v>
      </c>
      <c r="S420" s="307">
        <f t="shared" ca="1" si="195"/>
        <v>8.5499999999999989</v>
      </c>
      <c r="T420" s="304">
        <f t="shared" ca="1" si="175"/>
        <v>83.875499999999988</v>
      </c>
      <c r="U420" s="311">
        <f t="shared" ca="1" si="176"/>
        <v>0</v>
      </c>
      <c r="V420" s="306">
        <f t="shared" ca="1" si="177"/>
        <v>1.112379221242239</v>
      </c>
      <c r="W420" s="304">
        <f t="shared" ca="1" si="178"/>
        <v>19.847622073888754</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7.1642635339198382</v>
      </c>
      <c r="AH420" s="304">
        <f t="shared" ca="1" si="202"/>
        <v>-2.2760435595496653</v>
      </c>
    </row>
    <row r="421" spans="1:34" x14ac:dyDescent="0.3">
      <c r="A421" s="347">
        <f t="shared" ca="1" si="180"/>
        <v>0.1</v>
      </c>
      <c r="B421" s="304">
        <f t="shared" ca="1" si="181"/>
        <v>23.70000000000007</v>
      </c>
      <c r="D421" s="306">
        <f t="shared" ca="1" si="182"/>
        <v>-0.62340890678839944</v>
      </c>
      <c r="E421" s="307">
        <f t="shared" ca="1" si="183"/>
        <v>-7.5739162881031383</v>
      </c>
      <c r="F421" s="304">
        <f t="shared" ca="1" si="184"/>
        <v>7.5995293672869719</v>
      </c>
      <c r="G421" s="306">
        <f t="shared" ca="1" si="185"/>
        <v>20.315356666163243</v>
      </c>
      <c r="H421" s="307">
        <f t="shared" ca="1" si="186"/>
        <v>-73.849445811285122</v>
      </c>
      <c r="I421" s="304">
        <f t="shared" ca="1" si="187"/>
        <v>76.592782708995244</v>
      </c>
      <c r="J421" s="306">
        <f t="shared" ca="1" si="188"/>
        <v>605.15334775147073</v>
      </c>
      <c r="K421" s="307">
        <f t="shared" ca="1" si="189"/>
        <v>956.30296290821366</v>
      </c>
      <c r="L421" s="304">
        <f t="shared" ca="1" si="174"/>
        <v>1131.6916237040198</v>
      </c>
      <c r="M421" s="306">
        <f t="shared" ca="1" si="190"/>
        <v>-1.3023450278473887</v>
      </c>
      <c r="N421" s="304">
        <f t="shared" ca="1" si="191"/>
        <v>-74.618873565503037</v>
      </c>
      <c r="P421" s="310">
        <f t="shared" ca="1" si="192"/>
        <v>23</v>
      </c>
      <c r="Q421" s="304">
        <f t="shared" ca="1" si="193"/>
        <v>0</v>
      </c>
      <c r="R421" s="306">
        <f t="shared" ca="1" si="194"/>
        <v>0</v>
      </c>
      <c r="S421" s="307">
        <f t="shared" ca="1" si="195"/>
        <v>8.5499999999999989</v>
      </c>
      <c r="T421" s="304">
        <f t="shared" ca="1" si="175"/>
        <v>83.875499999999988</v>
      </c>
      <c r="U421" s="311">
        <f t="shared" ca="1" si="176"/>
        <v>0</v>
      </c>
      <c r="V421" s="306">
        <f t="shared" ca="1" si="177"/>
        <v>1.1131986835525318</v>
      </c>
      <c r="W421" s="304">
        <f t="shared" ca="1" si="178"/>
        <v>20.237415188654477</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7.1282683955638344</v>
      </c>
      <c r="AH421" s="304">
        <f t="shared" ca="1" si="202"/>
        <v>-2.3213593068875737</v>
      </c>
    </row>
    <row r="422" spans="1:34" x14ac:dyDescent="0.3">
      <c r="A422" s="347">
        <f t="shared" ca="1" si="180"/>
        <v>0.1</v>
      </c>
      <c r="B422" s="304">
        <f t="shared" ca="1" si="181"/>
        <v>23.800000000000072</v>
      </c>
      <c r="D422" s="306">
        <f t="shared" ca="1" si="182"/>
        <v>-0.62780609853850944</v>
      </c>
      <c r="E422" s="307">
        <f t="shared" ca="1" si="183"/>
        <v>-7.527828280552157</v>
      </c>
      <c r="F422" s="304">
        <f t="shared" ca="1" si="184"/>
        <v>7.5539618160831994</v>
      </c>
      <c r="G422" s="306">
        <f t="shared" ca="1" si="185"/>
        <v>20.252576056309394</v>
      </c>
      <c r="H422" s="307">
        <f t="shared" ca="1" si="186"/>
        <v>-74.602228639340339</v>
      </c>
      <c r="I422" s="304">
        <f t="shared" ca="1" si="187"/>
        <v>77.302389063165492</v>
      </c>
      <c r="J422" s="306">
        <f t="shared" ca="1" si="188"/>
        <v>607.18174438759434</v>
      </c>
      <c r="K422" s="307">
        <f t="shared" ca="1" si="189"/>
        <v>948.88037918568239</v>
      </c>
      <c r="L422" s="304">
        <f t="shared" ca="1" si="174"/>
        <v>1126.5183730064621</v>
      </c>
      <c r="M422" s="306">
        <f t="shared" ca="1" si="190"/>
        <v>-1.3057110232188005</v>
      </c>
      <c r="N422" s="304">
        <f t="shared" ca="1" si="191"/>
        <v>-74.811730894145512</v>
      </c>
      <c r="P422" s="310">
        <f t="shared" ca="1" si="192"/>
        <v>23</v>
      </c>
      <c r="Q422" s="304">
        <f t="shared" ca="1" si="193"/>
        <v>0</v>
      </c>
      <c r="R422" s="306">
        <f t="shared" ca="1" si="194"/>
        <v>0</v>
      </c>
      <c r="S422" s="307">
        <f t="shared" ca="1" si="195"/>
        <v>8.5499999999999989</v>
      </c>
      <c r="T422" s="304">
        <f t="shared" ca="1" si="175"/>
        <v>83.875499999999988</v>
      </c>
      <c r="U422" s="311">
        <f t="shared" ca="1" si="176"/>
        <v>0</v>
      </c>
      <c r="V422" s="306">
        <f t="shared" ca="1" si="177"/>
        <v>1.1140271514789526</v>
      </c>
      <c r="W422" s="304">
        <f t="shared" ca="1" si="178"/>
        <v>20.62947944121693</v>
      </c>
      <c r="Y422" s="314" t="str">
        <f t="shared" ca="1" si="196"/>
        <v/>
      </c>
      <c r="Z422" s="315" t="str">
        <f t="shared" ca="1" si="197"/>
        <v/>
      </c>
      <c r="AA422" s="316" t="str">
        <f t="shared" ca="1" si="198"/>
        <v/>
      </c>
      <c r="AC422" s="310" t="e">
        <f t="shared" ca="1" si="199"/>
        <v>#N/A</v>
      </c>
      <c r="AD422" s="323" t="e">
        <f t="shared" ca="1" si="200"/>
        <v>#N/A</v>
      </c>
      <c r="AE422" s="324" t="e">
        <f t="shared" ca="1" si="179"/>
        <v>#N/A</v>
      </c>
      <c r="AG422" s="306">
        <f t="shared" ca="1" si="201"/>
        <v>7.0916843945467782</v>
      </c>
      <c r="AH422" s="304">
        <f t="shared" ca="1" si="202"/>
        <v>-2.3669491448718691</v>
      </c>
    </row>
    <row r="423" spans="1:34" x14ac:dyDescent="0.3">
      <c r="A423" s="347">
        <f t="shared" ca="1" si="180"/>
        <v>0.1</v>
      </c>
      <c r="B423" s="304">
        <f t="shared" ca="1" si="181"/>
        <v>23.900000000000073</v>
      </c>
      <c r="D423" s="306">
        <f t="shared" ca="1" si="182"/>
        <v>-0.632134524251587</v>
      </c>
      <c r="E423" s="307">
        <f t="shared" ca="1" si="183"/>
        <v>-7.4814742767576998</v>
      </c>
      <c r="F423" s="304">
        <f t="shared" ca="1" si="184"/>
        <v>7.5081323516929244</v>
      </c>
      <c r="G423" s="306">
        <f t="shared" ca="1" si="185"/>
        <v>20.189362603884234</v>
      </c>
      <c r="H423" s="307">
        <f t="shared" ca="1" si="186"/>
        <v>-75.350376067016114</v>
      </c>
      <c r="I423" s="304">
        <f t="shared" ca="1" si="187"/>
        <v>78.008265817103478</v>
      </c>
      <c r="J423" s="306">
        <f t="shared" ca="1" si="188"/>
        <v>609.20384132060406</v>
      </c>
      <c r="K423" s="307">
        <f t="shared" ca="1" si="189"/>
        <v>941.38274895036454</v>
      </c>
      <c r="L423" s="304">
        <f t="shared" ca="1" si="174"/>
        <v>1121.3076296454622</v>
      </c>
      <c r="M423" s="306">
        <f t="shared" ca="1" si="190"/>
        <v>-1.309005728146067</v>
      </c>
      <c r="N423" s="304">
        <f t="shared" ca="1" si="191"/>
        <v>-75.000503581218837</v>
      </c>
      <c r="P423" s="310">
        <f t="shared" ca="1" si="192"/>
        <v>23</v>
      </c>
      <c r="Q423" s="304">
        <f t="shared" ca="1" si="193"/>
        <v>0</v>
      </c>
      <c r="R423" s="306">
        <f t="shared" ca="1" si="194"/>
        <v>0</v>
      </c>
      <c r="S423" s="307">
        <f t="shared" ca="1" si="195"/>
        <v>8.5499999999999989</v>
      </c>
      <c r="T423" s="304">
        <f t="shared" ca="1" si="175"/>
        <v>83.875499999999988</v>
      </c>
      <c r="U423" s="311">
        <f t="shared" ca="1" si="176"/>
        <v>0</v>
      </c>
      <c r="V423" s="306">
        <f t="shared" ca="1" si="177"/>
        <v>1.1148645919145912</v>
      </c>
      <c r="W423" s="304">
        <f t="shared" ca="1" si="178"/>
        <v>21.023742577238764</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7.0545336131616061</v>
      </c>
      <c r="AH423" s="304">
        <f t="shared" ca="1" si="202"/>
        <v>-2.4128046130078284</v>
      </c>
    </row>
    <row r="424" spans="1:34" x14ac:dyDescent="0.3">
      <c r="A424" s="347">
        <f t="shared" ca="1" si="180"/>
        <v>0.1</v>
      </c>
      <c r="B424" s="304">
        <f t="shared" ca="1" si="181"/>
        <v>24.000000000000075</v>
      </c>
      <c r="D424" s="306">
        <f t="shared" ca="1" si="182"/>
        <v>-0.63639374193361553</v>
      </c>
      <c r="E424" s="307">
        <f t="shared" ca="1" si="183"/>
        <v>-7.43486271992718</v>
      </c>
      <c r="F424" s="304">
        <f t="shared" ca="1" si="184"/>
        <v>7.4620493605265876</v>
      </c>
      <c r="G424" s="306">
        <f t="shared" ca="1" si="185"/>
        <v>20.125723229690873</v>
      </c>
      <c r="H424" s="307">
        <f t="shared" ca="1" si="186"/>
        <v>-76.093862339008837</v>
      </c>
      <c r="I424" s="304">
        <f t="shared" ca="1" si="187"/>
        <v>78.710359046228135</v>
      </c>
      <c r="J424" s="306">
        <f t="shared" ca="1" si="188"/>
        <v>611.21959561228277</v>
      </c>
      <c r="K424" s="307">
        <f t="shared" ca="1" si="189"/>
        <v>933.8105370300633</v>
      </c>
      <c r="L424" s="304">
        <f t="shared" ca="1" si="174"/>
        <v>1116.0607121159751</v>
      </c>
      <c r="M424" s="306">
        <f t="shared" ca="1" si="190"/>
        <v>-1.3122313975273261</v>
      </c>
      <c r="N424" s="304">
        <f t="shared" ca="1" si="191"/>
        <v>-75.185320822869556</v>
      </c>
      <c r="P424" s="310">
        <f t="shared" ca="1" si="192"/>
        <v>23</v>
      </c>
      <c r="Q424" s="304">
        <f t="shared" ca="1" si="193"/>
        <v>0</v>
      </c>
      <c r="R424" s="306">
        <f t="shared" ca="1" si="194"/>
        <v>0</v>
      </c>
      <c r="S424" s="307">
        <f t="shared" ca="1" si="195"/>
        <v>8.5499999999999989</v>
      </c>
      <c r="T424" s="304">
        <f t="shared" ca="1" si="175"/>
        <v>83.875499999999988</v>
      </c>
      <c r="U424" s="311">
        <f t="shared" ca="1" si="176"/>
        <v>0</v>
      </c>
      <c r="V424" s="306">
        <f t="shared" ca="1" si="177"/>
        <v>1.1157109715320739</v>
      </c>
      <c r="W424" s="304">
        <f t="shared" ca="1" si="178"/>
        <v>21.420132448370147</v>
      </c>
      <c r="Y424" s="314" t="str">
        <f t="shared" ca="1" si="196"/>
        <v/>
      </c>
      <c r="Z424" s="315" t="str">
        <f t="shared" ca="1" si="197"/>
        <v/>
      </c>
      <c r="AA424" s="316" t="str">
        <f t="shared" ca="1" si="198"/>
        <v/>
      </c>
      <c r="AC424" s="310">
        <f t="shared" ca="1" si="199"/>
        <v>24.000000000000075</v>
      </c>
      <c r="AD424" s="323">
        <f t="shared" ca="1" si="200"/>
        <v>611.21959561228277</v>
      </c>
      <c r="AE424" s="324" t="e">
        <f t="shared" ca="1" si="179"/>
        <v>#N/A</v>
      </c>
      <c r="AG424" s="306">
        <f t="shared" ca="1" si="201"/>
        <v>7.0168374108170282</v>
      </c>
      <c r="AH424" s="304">
        <f t="shared" ca="1" si="202"/>
        <v>-2.4589172604957623</v>
      </c>
    </row>
    <row r="425" spans="1:34" x14ac:dyDescent="0.3">
      <c r="A425" s="347">
        <f t="shared" ca="1" si="180"/>
        <v>0.1</v>
      </c>
      <c r="B425" s="304">
        <f t="shared" ca="1" si="181"/>
        <v>24.100000000000076</v>
      </c>
      <c r="D425" s="306">
        <f t="shared" ca="1" si="182"/>
        <v>-0.64058334014268703</v>
      </c>
      <c r="E425" s="307">
        <f t="shared" ca="1" si="183"/>
        <v>-7.3880020451851962</v>
      </c>
      <c r="F425" s="304">
        <f t="shared" ca="1" si="184"/>
        <v>7.4157212215218156</v>
      </c>
      <c r="G425" s="306">
        <f t="shared" ca="1" si="185"/>
        <v>20.061664895676603</v>
      </c>
      <c r="H425" s="307">
        <f t="shared" ca="1" si="186"/>
        <v>-76.832662543527363</v>
      </c>
      <c r="I425" s="304">
        <f t="shared" ca="1" si="187"/>
        <v>79.408616861861887</v>
      </c>
      <c r="J425" s="306">
        <f t="shared" ca="1" si="188"/>
        <v>613.22896501855109</v>
      </c>
      <c r="K425" s="307">
        <f t="shared" ca="1" si="189"/>
        <v>926.16421078593646</v>
      </c>
      <c r="L425" s="304">
        <f t="shared" ca="1" si="174"/>
        <v>1110.7789649063668</v>
      </c>
      <c r="M425" s="306">
        <f t="shared" ca="1" si="190"/>
        <v>-1.3153901944083626</v>
      </c>
      <c r="N425" s="304">
        <f t="shared" ca="1" si="191"/>
        <v>-75.366306552492034</v>
      </c>
      <c r="P425" s="310">
        <f t="shared" ca="1" si="192"/>
        <v>23</v>
      </c>
      <c r="Q425" s="304">
        <f t="shared" ca="1" si="193"/>
        <v>0</v>
      </c>
      <c r="R425" s="306">
        <f t="shared" ca="1" si="194"/>
        <v>0</v>
      </c>
      <c r="S425" s="307">
        <f t="shared" ca="1" si="195"/>
        <v>8.5499999999999989</v>
      </c>
      <c r="T425" s="304">
        <f t="shared" ca="1" si="175"/>
        <v>83.875499999999988</v>
      </c>
      <c r="U425" s="311">
        <f t="shared" ca="1" si="176"/>
        <v>0</v>
      </c>
      <c r="V425" s="306">
        <f t="shared" ca="1" si="177"/>
        <v>1.1165662567889061</v>
      </c>
      <c r="W425" s="304">
        <f t="shared" ca="1" si="178"/>
        <v>21.818577035057626</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6.9786164646354489</v>
      </c>
      <c r="AH425" s="304">
        <f t="shared" ca="1" si="202"/>
        <v>-2.5052786489321814</v>
      </c>
    </row>
    <row r="426" spans="1:34" x14ac:dyDescent="0.3">
      <c r="A426" s="347">
        <f t="shared" ca="1" si="180"/>
        <v>0.1</v>
      </c>
      <c r="B426" s="304">
        <f t="shared" ca="1" si="181"/>
        <v>24.200000000000077</v>
      </c>
      <c r="D426" s="306">
        <f t="shared" ca="1" si="182"/>
        <v>-0.64470293727035832</v>
      </c>
      <c r="E426" s="307">
        <f t="shared" ca="1" si="183"/>
        <v>-7.3409006766039031</v>
      </c>
      <c r="F426" s="304">
        <f t="shared" ca="1" si="184"/>
        <v>7.3691563032065392</v>
      </c>
      <c r="G426" s="306">
        <f t="shared" ca="1" si="185"/>
        <v>19.997194601949566</v>
      </c>
      <c r="H426" s="307">
        <f t="shared" ca="1" si="186"/>
        <v>-77.566752611187752</v>
      </c>
      <c r="I426" s="304">
        <f t="shared" ca="1" si="187"/>
        <v>80.102989348671898</v>
      </c>
      <c r="J426" s="306">
        <f t="shared" ca="1" si="188"/>
        <v>615.2319079934324</v>
      </c>
      <c r="K426" s="307">
        <f t="shared" ca="1" si="189"/>
        <v>918.44424002820074</v>
      </c>
      <c r="L426" s="304">
        <f t="shared" ca="1" si="174"/>
        <v>1105.4637590867546</v>
      </c>
      <c r="M426" s="306">
        <f t="shared" ca="1" si="190"/>
        <v>-1.3184841944613153</v>
      </c>
      <c r="N426" s="304">
        <f t="shared" ca="1" si="191"/>
        <v>-75.543579697339482</v>
      </c>
      <c r="P426" s="310">
        <f t="shared" ca="1" si="192"/>
        <v>23</v>
      </c>
      <c r="Q426" s="304">
        <f t="shared" ca="1" si="193"/>
        <v>0</v>
      </c>
      <c r="R426" s="306">
        <f t="shared" ca="1" si="194"/>
        <v>0</v>
      </c>
      <c r="S426" s="307">
        <f t="shared" ca="1" si="195"/>
        <v>8.5499999999999989</v>
      </c>
      <c r="T426" s="304">
        <f t="shared" ca="1" si="175"/>
        <v>83.875499999999988</v>
      </c>
      <c r="U426" s="311">
        <f t="shared" ca="1" si="176"/>
        <v>0</v>
      </c>
      <c r="V426" s="306">
        <f t="shared" ca="1" si="177"/>
        <v>1.1174304139328259</v>
      </c>
      <c r="W426" s="304">
        <f t="shared" ca="1" si="178"/>
        <v>22.219004469056184</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6.9398908071267194</v>
      </c>
      <c r="AH426" s="304">
        <f t="shared" ca="1" si="202"/>
        <v>-2.5518803549775004</v>
      </c>
    </row>
    <row r="427" spans="1:34" x14ac:dyDescent="0.3">
      <c r="A427" s="347">
        <f t="shared" ca="1" si="180"/>
        <v>0.1</v>
      </c>
      <c r="B427" s="304">
        <f t="shared" ca="1" si="181"/>
        <v>24.300000000000079</v>
      </c>
      <c r="D427" s="306">
        <f t="shared" ca="1" si="182"/>
        <v>-0.64875218085139663</v>
      </c>
      <c r="E427" s="307">
        <f t="shared" ca="1" si="183"/>
        <v>-7.2935670242883539</v>
      </c>
      <c r="F427" s="304">
        <f t="shared" ca="1" si="184"/>
        <v>7.3223629608170828</v>
      </c>
      <c r="G427" s="306">
        <f t="shared" ca="1" si="185"/>
        <v>19.932319383864428</v>
      </c>
      <c r="H427" s="307">
        <f t="shared" ca="1" si="186"/>
        <v>-78.296109313616583</v>
      </c>
      <c r="I427" s="304">
        <f t="shared" ca="1" si="187"/>
        <v>80.793428505480406</v>
      </c>
      <c r="J427" s="306">
        <f t="shared" ca="1" si="188"/>
        <v>617.22838369272313</v>
      </c>
      <c r="K427" s="307">
        <f t="shared" ca="1" si="189"/>
        <v>910.65109693196052</v>
      </c>
      <c r="L427" s="304">
        <f t="shared" ca="1" si="174"/>
        <v>1100.1164929130525</v>
      </c>
      <c r="M427" s="306">
        <f t="shared" ca="1" si="190"/>
        <v>-1.3215153902133532</v>
      </c>
      <c r="N427" s="304">
        <f t="shared" ca="1" si="191"/>
        <v>-75.717254420809226</v>
      </c>
      <c r="P427" s="310">
        <f t="shared" ca="1" si="192"/>
        <v>23</v>
      </c>
      <c r="Q427" s="304">
        <f t="shared" ca="1" si="193"/>
        <v>0</v>
      </c>
      <c r="R427" s="306">
        <f t="shared" ca="1" si="194"/>
        <v>0</v>
      </c>
      <c r="S427" s="307">
        <f t="shared" ca="1" si="195"/>
        <v>8.5499999999999989</v>
      </c>
      <c r="T427" s="304">
        <f t="shared" ca="1" si="175"/>
        <v>83.875499999999988</v>
      </c>
      <c r="U427" s="311">
        <f t="shared" ca="1" si="176"/>
        <v>0</v>
      </c>
      <c r="V427" s="306">
        <f t="shared" ca="1" si="177"/>
        <v>1.1183034090071615</v>
      </c>
      <c r="W427" s="304">
        <f t="shared" ca="1" si="178"/>
        <v>22.621343055634377</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6.9006798611609081</v>
      </c>
      <c r="AH427" s="304">
        <f t="shared" ca="1" si="202"/>
        <v>-2.5987139729890276</v>
      </c>
    </row>
    <row r="428" spans="1:34" x14ac:dyDescent="0.3">
      <c r="A428" s="347">
        <f t="shared" ca="1" si="180"/>
        <v>0.1</v>
      </c>
      <c r="B428" s="304">
        <f t="shared" ca="1" si="181"/>
        <v>24.40000000000008</v>
      </c>
      <c r="D428" s="306">
        <f t="shared" ca="1" si="182"/>
        <v>-0.65273074689966626</v>
      </c>
      <c r="E428" s="307">
        <f t="shared" ca="1" si="183"/>
        <v>-7.2460094815164204</v>
      </c>
      <c r="F428" s="304">
        <f t="shared" ca="1" si="184"/>
        <v>7.2753495334708189</v>
      </c>
      <c r="G428" s="306">
        <f t="shared" ca="1" si="185"/>
        <v>19.867046309174462</v>
      </c>
      <c r="H428" s="307">
        <f t="shared" ca="1" si="186"/>
        <v>-79.02071026176823</v>
      </c>
      <c r="I428" s="304">
        <f t="shared" ca="1" si="187"/>
        <v>81.479888189204118</v>
      </c>
      <c r="J428" s="306">
        <f t="shared" ca="1" si="188"/>
        <v>619.21835197737505</v>
      </c>
      <c r="K428" s="307">
        <f t="shared" ca="1" si="189"/>
        <v>902.78525595319127</v>
      </c>
      <c r="L428" s="304">
        <f t="shared" ca="1" si="174"/>
        <v>1094.7385924466375</v>
      </c>
      <c r="M428" s="306">
        <f t="shared" ca="1" si="190"/>
        <v>-1.3244856950407375</v>
      </c>
      <c r="N428" s="304">
        <f t="shared" ca="1" si="191"/>
        <v>-75.88744035128569</v>
      </c>
      <c r="P428" s="310">
        <f t="shared" ca="1" si="192"/>
        <v>23</v>
      </c>
      <c r="Q428" s="304">
        <f t="shared" ca="1" si="193"/>
        <v>0</v>
      </c>
      <c r="R428" s="306">
        <f t="shared" ca="1" si="194"/>
        <v>0</v>
      </c>
      <c r="S428" s="307">
        <f t="shared" ca="1" si="195"/>
        <v>8.5499999999999989</v>
      </c>
      <c r="T428" s="304">
        <f t="shared" ca="1" si="175"/>
        <v>83.875499999999988</v>
      </c>
      <c r="U428" s="311">
        <f t="shared" ca="1" si="176"/>
        <v>0</v>
      </c>
      <c r="V428" s="306">
        <f t="shared" ca="1" si="177"/>
        <v>1.119185207856193</v>
      </c>
      <c r="W428" s="304">
        <f t="shared" ca="1" si="178"/>
        <v>23.025521295462703</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6.8610024724453691</v>
      </c>
      <c r="AH428" s="304">
        <f t="shared" ca="1" si="202"/>
        <v>-2.6457711176180561</v>
      </c>
    </row>
    <row r="429" spans="1:34" x14ac:dyDescent="0.3">
      <c r="A429" s="347">
        <f t="shared" ca="1" si="180"/>
        <v>0.1</v>
      </c>
      <c r="B429" s="304">
        <f t="shared" ca="1" si="181"/>
        <v>24.500000000000082</v>
      </c>
      <c r="D429" s="306">
        <f t="shared" ca="1" si="182"/>
        <v>-0.65663833926809201</v>
      </c>
      <c r="E429" s="307">
        <f t="shared" ca="1" si="183"/>
        <v>-7.198236421932986</v>
      </c>
      <c r="F429" s="304">
        <f t="shared" ca="1" si="184"/>
        <v>7.2281243413930945</v>
      </c>
      <c r="G429" s="306">
        <f t="shared" ca="1" si="185"/>
        <v>19.801382475247653</v>
      </c>
      <c r="H429" s="307">
        <f t="shared" ca="1" si="186"/>
        <v>-79.740533903961534</v>
      </c>
      <c r="I429" s="304">
        <f t="shared" ca="1" si="187"/>
        <v>82.162324061700474</v>
      </c>
      <c r="J429" s="306">
        <f t="shared" ca="1" si="188"/>
        <v>621.20177341659621</v>
      </c>
      <c r="K429" s="307">
        <f t="shared" ca="1" si="189"/>
        <v>894.84719374490476</v>
      </c>
      <c r="L429" s="304">
        <f t="shared" ca="1" si="174"/>
        <v>1089.3315121894966</v>
      </c>
      <c r="M429" s="306">
        <f t="shared" ca="1" si="190"/>
        <v>-1.3273969469426741</v>
      </c>
      <c r="N429" s="304">
        <f t="shared" ca="1" si="191"/>
        <v>-76.05424279836609</v>
      </c>
      <c r="P429" s="310">
        <f t="shared" ca="1" si="192"/>
        <v>23</v>
      </c>
      <c r="Q429" s="304">
        <f t="shared" ca="1" si="193"/>
        <v>0</v>
      </c>
      <c r="R429" s="306">
        <f t="shared" ca="1" si="194"/>
        <v>0</v>
      </c>
      <c r="S429" s="307">
        <f t="shared" ca="1" si="195"/>
        <v>8.5499999999999989</v>
      </c>
      <c r="T429" s="304">
        <f t="shared" ca="1" si="175"/>
        <v>83.875499999999988</v>
      </c>
      <c r="U429" s="311">
        <f t="shared" ca="1" si="176"/>
        <v>0</v>
      </c>
      <c r="V429" s="306">
        <f t="shared" ca="1" si="177"/>
        <v>1.1200757761305227</v>
      </c>
      <c r="W429" s="304">
        <f t="shared" ca="1" si="178"/>
        <v>23.431467906175918</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6.8208769396948252</v>
      </c>
      <c r="AH429" s="304">
        <f t="shared" ca="1" si="202"/>
        <v>-2.6930434263699072</v>
      </c>
    </row>
    <row r="430" spans="1:34" x14ac:dyDescent="0.3">
      <c r="A430" s="347">
        <f t="shared" ca="1" si="180"/>
        <v>0.1</v>
      </c>
      <c r="B430" s="304">
        <f t="shared" ca="1" si="181"/>
        <v>24.600000000000083</v>
      </c>
      <c r="D430" s="306">
        <f t="shared" ca="1" si="182"/>
        <v>-0.6604746890307992</v>
      </c>
      <c r="E430" s="307">
        <f t="shared" ca="1" si="183"/>
        <v>-7.1502561967981881</v>
      </c>
      <c r="F430" s="304">
        <f t="shared" ca="1" si="184"/>
        <v>7.1806956831981967</v>
      </c>
      <c r="G430" s="306">
        <f t="shared" ca="1" si="185"/>
        <v>19.735335006344574</v>
      </c>
      <c r="H430" s="307">
        <f t="shared" ca="1" si="186"/>
        <v>-80.455559523641355</v>
      </c>
      <c r="I430" s="304">
        <f t="shared" ca="1" si="187"/>
        <v>82.840693539315851</v>
      </c>
      <c r="J430" s="306">
        <f t="shared" ca="1" si="188"/>
        <v>623.17860929067581</v>
      </c>
      <c r="K430" s="307">
        <f t="shared" ca="1" si="189"/>
        <v>886.83738907352461</v>
      </c>
      <c r="L430" s="304">
        <f t="shared" ca="1" si="174"/>
        <v>1083.8967357346394</v>
      </c>
      <c r="M430" s="306">
        <f t="shared" ca="1" si="190"/>
        <v>-1.3302509121084107</v>
      </c>
      <c r="N430" s="304">
        <f t="shared" ca="1" si="191"/>
        <v>-76.217762957240154</v>
      </c>
      <c r="P430" s="310">
        <f t="shared" ca="1" si="192"/>
        <v>23</v>
      </c>
      <c r="Q430" s="304">
        <f t="shared" ca="1" si="193"/>
        <v>0</v>
      </c>
      <c r="R430" s="306">
        <f t="shared" ca="1" si="194"/>
        <v>0</v>
      </c>
      <c r="S430" s="307">
        <f t="shared" ca="1" si="195"/>
        <v>8.5499999999999989</v>
      </c>
      <c r="T430" s="304">
        <f t="shared" ca="1" si="175"/>
        <v>83.875499999999988</v>
      </c>
      <c r="U430" s="311">
        <f t="shared" ca="1" si="176"/>
        <v>0</v>
      </c>
      <c r="V430" s="306">
        <f t="shared" ca="1" si="177"/>
        <v>1.1209750792924371</v>
      </c>
      <c r="W430" s="304">
        <f t="shared" ca="1" si="178"/>
        <v>23.839111843600186</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6.7803210426682794</v>
      </c>
      <c r="AH430" s="304">
        <f t="shared" ca="1" si="202"/>
        <v>-2.7405225621258387</v>
      </c>
    </row>
    <row r="431" spans="1:34" x14ac:dyDescent="0.3">
      <c r="A431" s="347">
        <f t="shared" ca="1" si="180"/>
        <v>0.1</v>
      </c>
      <c r="B431" s="304">
        <f t="shared" ca="1" si="181"/>
        <v>24.700000000000085</v>
      </c>
      <c r="D431" s="306">
        <f t="shared" ca="1" si="182"/>
        <v>-0.664239553885691</v>
      </c>
      <c r="E431" s="307">
        <f t="shared" ca="1" si="183"/>
        <v>-7.1020771322895424</v>
      </c>
      <c r="F431" s="304">
        <f t="shared" ca="1" si="184"/>
        <v>7.1330718332241903</v>
      </c>
      <c r="G431" s="306">
        <f t="shared" ca="1" si="185"/>
        <v>19.668911050956005</v>
      </c>
      <c r="H431" s="307">
        <f t="shared" ca="1" si="186"/>
        <v>-81.165767236870309</v>
      </c>
      <c r="I431" s="304">
        <f t="shared" ca="1" si="187"/>
        <v>83.514955744945638</v>
      </c>
      <c r="J431" s="306">
        <f t="shared" ca="1" si="188"/>
        <v>625.14882159354079</v>
      </c>
      <c r="K431" s="307">
        <f t="shared" ca="1" si="189"/>
        <v>878.756322735499</v>
      </c>
      <c r="L431" s="304">
        <f t="shared" ca="1" si="174"/>
        <v>1078.4357764314984</v>
      </c>
      <c r="M431" s="306">
        <f t="shared" ca="1" si="190"/>
        <v>-1.3330492882901601</v>
      </c>
      <c r="N431" s="304">
        <f t="shared" ca="1" si="191"/>
        <v>-76.378098101944332</v>
      </c>
      <c r="P431" s="310">
        <f t="shared" ca="1" si="192"/>
        <v>23</v>
      </c>
      <c r="Q431" s="304">
        <f t="shared" ca="1" si="193"/>
        <v>0</v>
      </c>
      <c r="R431" s="306">
        <f t="shared" ca="1" si="194"/>
        <v>0</v>
      </c>
      <c r="S431" s="307">
        <f t="shared" ca="1" si="195"/>
        <v>8.5499999999999989</v>
      </c>
      <c r="T431" s="304">
        <f t="shared" ca="1" si="175"/>
        <v>83.875499999999988</v>
      </c>
      <c r="U431" s="311">
        <f t="shared" ca="1" si="176"/>
        <v>0</v>
      </c>
      <c r="V431" s="306">
        <f t="shared" ca="1" si="177"/>
        <v>1.1218830826212789</v>
      </c>
      <c r="W431" s="304">
        <f t="shared" ca="1" si="178"/>
        <v>24.248382322636726</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6.7393520682326375</v>
      </c>
      <c r="AH431" s="304">
        <f t="shared" ca="1" si="202"/>
        <v>-2.788200215625753</v>
      </c>
    </row>
    <row r="432" spans="1:34" x14ac:dyDescent="0.3">
      <c r="A432" s="347">
        <f t="shared" ca="1" si="180"/>
        <v>0.1</v>
      </c>
      <c r="B432" s="304">
        <f t="shared" ca="1" si="181"/>
        <v>24.800000000000086</v>
      </c>
      <c r="D432" s="306">
        <f t="shared" ca="1" si="182"/>
        <v>-0.6679327175758597</v>
      </c>
      <c r="E432" s="307">
        <f t="shared" ca="1" si="183"/>
        <v>-7.0537075268578509</v>
      </c>
      <c r="F432" s="304">
        <f t="shared" ca="1" si="184"/>
        <v>7.0852610389215283</v>
      </c>
      <c r="G432" s="306">
        <f t="shared" ca="1" si="185"/>
        <v>19.602117779198419</v>
      </c>
      <c r="H432" s="307">
        <f t="shared" ca="1" si="186"/>
        <v>-81.87113798955609</v>
      </c>
      <c r="I432" s="304">
        <f t="shared" ca="1" si="187"/>
        <v>84.185071462430329</v>
      </c>
      <c r="J432" s="306">
        <f t="shared" ca="1" si="188"/>
        <v>627.11237303504856</v>
      </c>
      <c r="K432" s="307">
        <f t="shared" ca="1" si="189"/>
        <v>870.60447747417766</v>
      </c>
      <c r="L432" s="304">
        <f t="shared" ca="1" si="174"/>
        <v>1072.9501780659416</v>
      </c>
      <c r="M432" s="306">
        <f t="shared" ca="1" si="190"/>
        <v>-1.3357937079935946</v>
      </c>
      <c r="N432" s="304">
        <f t="shared" ca="1" si="191"/>
        <v>-76.535341768163676</v>
      </c>
      <c r="P432" s="310">
        <f t="shared" ca="1" si="192"/>
        <v>23</v>
      </c>
      <c r="Q432" s="304">
        <f t="shared" ca="1" si="193"/>
        <v>0</v>
      </c>
      <c r="R432" s="306">
        <f t="shared" ca="1" si="194"/>
        <v>0</v>
      </c>
      <c r="S432" s="307">
        <f t="shared" ca="1" si="195"/>
        <v>8.5499999999999989</v>
      </c>
      <c r="T432" s="304">
        <f t="shared" ca="1" si="175"/>
        <v>83.875499999999988</v>
      </c>
      <c r="U432" s="311">
        <f t="shared" ca="1" si="176"/>
        <v>0</v>
      </c>
      <c r="V432" s="306">
        <f t="shared" ca="1" si="177"/>
        <v>1.1227997512188073</v>
      </c>
      <c r="W432" s="304">
        <f t="shared" ca="1" si="178"/>
        <v>24.659208837793464</v>
      </c>
      <c r="Y432" s="314" t="str">
        <f t="shared" ca="1" si="196"/>
        <v/>
      </c>
      <c r="Z432" s="315" t="str">
        <f t="shared" ca="1" si="197"/>
        <v/>
      </c>
      <c r="AA432" s="316" t="str">
        <f t="shared" ca="1" si="198"/>
        <v/>
      </c>
      <c r="AC432" s="310" t="e">
        <f t="shared" ca="1" si="199"/>
        <v>#N/A</v>
      </c>
      <c r="AD432" s="323" t="e">
        <f t="shared" ca="1" si="200"/>
        <v>#N/A</v>
      </c>
      <c r="AE432" s="324" t="e">
        <f t="shared" ca="1" si="179"/>
        <v>#N/A</v>
      </c>
      <c r="AG432" s="306">
        <f t="shared" ca="1" si="201"/>
        <v>6.6979868346004068</v>
      </c>
      <c r="AH432" s="304">
        <f t="shared" ca="1" si="202"/>
        <v>-2.8360681079107284</v>
      </c>
    </row>
    <row r="433" spans="1:34" x14ac:dyDescent="0.3">
      <c r="A433" s="347">
        <f t="shared" ca="1" si="180"/>
        <v>0.1</v>
      </c>
      <c r="B433" s="304">
        <f t="shared" ca="1" si="181"/>
        <v>24.900000000000087</v>
      </c>
      <c r="D433" s="306">
        <f t="shared" ca="1" si="182"/>
        <v>-0.67155398932836574</v>
      </c>
      <c r="E433" s="307">
        <f t="shared" ca="1" si="183"/>
        <v>-7.0051556486368671</v>
      </c>
      <c r="F433" s="304">
        <f t="shared" ca="1" si="184"/>
        <v>7.0372715182954142</v>
      </c>
      <c r="G433" s="306">
        <f t="shared" ca="1" si="185"/>
        <v>19.534962380265583</v>
      </c>
      <c r="H433" s="307">
        <f t="shared" ca="1" si="186"/>
        <v>-82.571653554419782</v>
      </c>
      <c r="I433" s="304">
        <f t="shared" ca="1" si="187"/>
        <v>84.851003093125044</v>
      </c>
      <c r="J433" s="306">
        <f t="shared" ca="1" si="188"/>
        <v>629.06922704302178</v>
      </c>
      <c r="K433" s="307">
        <f t="shared" ca="1" si="189"/>
        <v>862.38233789697881</v>
      </c>
      <c r="L433" s="304">
        <f t="shared" ca="1" si="174"/>
        <v>1067.441515554442</v>
      </c>
      <c r="M433" s="306">
        <f t="shared" ca="1" si="190"/>
        <v>-1.3384857414969038</v>
      </c>
      <c r="N433" s="304">
        <f t="shared" ca="1" si="191"/>
        <v>-76.6895839262111</v>
      </c>
      <c r="P433" s="310">
        <f t="shared" ca="1" si="192"/>
        <v>23</v>
      </c>
      <c r="Q433" s="304">
        <f t="shared" ca="1" si="193"/>
        <v>0</v>
      </c>
      <c r="R433" s="306">
        <f t="shared" ca="1" si="194"/>
        <v>0</v>
      </c>
      <c r="S433" s="307">
        <f t="shared" ca="1" si="195"/>
        <v>8.5499999999999989</v>
      </c>
      <c r="T433" s="304">
        <f t="shared" ca="1" si="175"/>
        <v>83.875499999999988</v>
      </c>
      <c r="U433" s="311">
        <f t="shared" ca="1" si="176"/>
        <v>0</v>
      </c>
      <c r="V433" s="306">
        <f t="shared" ca="1" si="177"/>
        <v>1.1237250500145624</v>
      </c>
      <c r="W433" s="304">
        <f t="shared" ca="1" si="178"/>
        <v>25.071521183357262</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6.6562417138772023</v>
      </c>
      <c r="AH433" s="304">
        <f t="shared" ca="1" si="202"/>
        <v>-2.8841179927243821</v>
      </c>
    </row>
    <row r="434" spans="1:34" x14ac:dyDescent="0.3">
      <c r="A434" s="347">
        <f t="shared" ca="1" si="180"/>
        <v>0.1</v>
      </c>
      <c r="B434" s="304">
        <f t="shared" ca="1" si="181"/>
        <v>25.000000000000089</v>
      </c>
      <c r="D434" s="306">
        <f t="shared" ca="1" si="182"/>
        <v>-0.67510320330903917</v>
      </c>
      <c r="E434" s="307">
        <f t="shared" ca="1" si="183"/>
        <v>-6.9564297329066509</v>
      </c>
      <c r="F434" s="304">
        <f t="shared" ca="1" si="184"/>
        <v>6.9891114574018509</v>
      </c>
      <c r="G434" s="306">
        <f t="shared" ca="1" si="185"/>
        <v>19.467452059934679</v>
      </c>
      <c r="H434" s="307">
        <f t="shared" ca="1" si="186"/>
        <v>-83.267296527710442</v>
      </c>
      <c r="I434" s="304">
        <f t="shared" ca="1" si="187"/>
        <v>85.51271461449177</v>
      </c>
      <c r="J434" s="306">
        <f t="shared" ca="1" si="188"/>
        <v>631.01934776503185</v>
      </c>
      <c r="K434" s="307">
        <f t="shared" ca="1" si="189"/>
        <v>854.09039039287234</v>
      </c>
      <c r="L434" s="304">
        <f t="shared" ca="1" si="174"/>
        <v>1061.9113956518479</v>
      </c>
      <c r="M434" s="306">
        <f t="shared" ca="1" si="190"/>
        <v>-1.3411268997086832</v>
      </c>
      <c r="N434" s="304">
        <f t="shared" ca="1" si="191"/>
        <v>-76.840911144772377</v>
      </c>
      <c r="P434" s="310">
        <f t="shared" ca="1" si="192"/>
        <v>23</v>
      </c>
      <c r="Q434" s="304">
        <f t="shared" ca="1" si="193"/>
        <v>0</v>
      </c>
      <c r="R434" s="306">
        <f t="shared" ca="1" si="194"/>
        <v>0</v>
      </c>
      <c r="S434" s="307">
        <f t="shared" ca="1" si="195"/>
        <v>8.5499999999999989</v>
      </c>
      <c r="T434" s="304">
        <f t="shared" ca="1" si="175"/>
        <v>83.875499999999988</v>
      </c>
      <c r="U434" s="311">
        <f t="shared" ca="1" si="176"/>
        <v>0</v>
      </c>
      <c r="V434" s="306">
        <f t="shared" ca="1" si="177"/>
        <v>1.1246589437712169</v>
      </c>
      <c r="W434" s="304">
        <f t="shared" ca="1" si="178"/>
        <v>25.485249473199008</v>
      </c>
      <c r="Y434" s="314" t="str">
        <f t="shared" ca="1" si="196"/>
        <v/>
      </c>
      <c r="Z434" s="315" t="str">
        <f t="shared" ca="1" si="197"/>
        <v/>
      </c>
      <c r="AA434" s="316" t="str">
        <f t="shared" ca="1" si="198"/>
        <v/>
      </c>
      <c r="AC434" s="310">
        <f t="shared" ca="1" si="199"/>
        <v>25.000000000000089</v>
      </c>
      <c r="AD434" s="323">
        <f t="shared" ca="1" si="200"/>
        <v>631.01934776503185</v>
      </c>
      <c r="AE434" s="324" t="e">
        <f t="shared" ca="1" si="179"/>
        <v>#N/A</v>
      </c>
      <c r="AG434" s="306">
        <f t="shared" ca="1" si="201"/>
        <v>6.6141326530442139</v>
      </c>
      <c r="AH434" s="304">
        <f t="shared" ca="1" si="202"/>
        <v>-2.9323416588721947</v>
      </c>
    </row>
    <row r="435" spans="1:34" x14ac:dyDescent="0.3">
      <c r="A435" s="347">
        <f t="shared" ca="1" si="180"/>
        <v>0.1</v>
      </c>
      <c r="B435" s="304">
        <f t="shared" ca="1" si="181"/>
        <v>25.10000000000009</v>
      </c>
      <c r="D435" s="306">
        <f t="shared" ca="1" si="182"/>
        <v>-0.67858021809205971</v>
      </c>
      <c r="E435" s="307">
        <f t="shared" ca="1" si="183"/>
        <v>-6.9075379796106953</v>
      </c>
      <c r="F435" s="304">
        <f t="shared" ca="1" si="184"/>
        <v>6.9407890078974503</v>
      </c>
      <c r="G435" s="306">
        <f t="shared" ca="1" si="185"/>
        <v>19.399594038125475</v>
      </c>
      <c r="H435" s="307">
        <f t="shared" ca="1" si="186"/>
        <v>-83.958050325671508</v>
      </c>
      <c r="I435" s="304">
        <f t="shared" ca="1" si="187"/>
        <v>86.170171540574657</v>
      </c>
      <c r="J435" s="306">
        <f t="shared" ca="1" si="188"/>
        <v>632.96270006993484</v>
      </c>
      <c r="K435" s="307">
        <f t="shared" ca="1" si="189"/>
        <v>845.72912305020327</v>
      </c>
      <c r="L435" s="304">
        <f t="shared" ca="1" si="174"/>
        <v>1056.3614576720831</v>
      </c>
      <c r="M435" s="306">
        <f t="shared" ca="1" si="190"/>
        <v>-1.3437186368742595</v>
      </c>
      <c r="N435" s="304">
        <f t="shared" ca="1" si="191"/>
        <v>-76.989406745967102</v>
      </c>
      <c r="P435" s="310">
        <f t="shared" ca="1" si="192"/>
        <v>23</v>
      </c>
      <c r="Q435" s="304">
        <f t="shared" ca="1" si="193"/>
        <v>0</v>
      </c>
      <c r="R435" s="306">
        <f t="shared" ca="1" si="194"/>
        <v>0</v>
      </c>
      <c r="S435" s="307">
        <f t="shared" ca="1" si="195"/>
        <v>8.5499999999999989</v>
      </c>
      <c r="T435" s="304">
        <f t="shared" ca="1" si="175"/>
        <v>83.875499999999988</v>
      </c>
      <c r="U435" s="311">
        <f t="shared" ca="1" si="176"/>
        <v>0</v>
      </c>
      <c r="V435" s="306">
        <f t="shared" ca="1" si="177"/>
        <v>1.1256013970899279</v>
      </c>
      <c r="W435" s="304">
        <f t="shared" ca="1" si="178"/>
        <v>25.90032416020502</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6.571675193491088</v>
      </c>
      <c r="AH435" s="304">
        <f t="shared" ca="1" si="202"/>
        <v>-2.9807309325378961</v>
      </c>
    </row>
    <row r="436" spans="1:34" x14ac:dyDescent="0.3">
      <c r="A436" s="347">
        <f t="shared" ca="1" si="180"/>
        <v>0.1</v>
      </c>
      <c r="B436" s="304">
        <f t="shared" ca="1" si="181"/>
        <v>25.200000000000092</v>
      </c>
      <c r="D436" s="306">
        <f t="shared" ca="1" si="182"/>
        <v>-0.68198491614319967</v>
      </c>
      <c r="E436" s="307">
        <f t="shared" ca="1" si="183"/>
        <v>-6.858488550926797</v>
      </c>
      <c r="F436" s="304">
        <f t="shared" ca="1" si="184"/>
        <v>6.8923122846429994</v>
      </c>
      <c r="G436" s="306">
        <f t="shared" ca="1" si="185"/>
        <v>19.331395546511153</v>
      </c>
      <c r="H436" s="307">
        <f t="shared" ca="1" si="186"/>
        <v>-84.643899180764194</v>
      </c>
      <c r="I436" s="304">
        <f t="shared" ca="1" si="187"/>
        <v>86.823340884229083</v>
      </c>
      <c r="J436" s="306">
        <f t="shared" ca="1" si="188"/>
        <v>634.89924954916671</v>
      </c>
      <c r="K436" s="307">
        <f t="shared" ca="1" si="189"/>
        <v>837.29902557488151</v>
      </c>
      <c r="L436" s="304">
        <f t="shared" ca="1" si="174"/>
        <v>1050.7933742209937</v>
      </c>
      <c r="M436" s="306">
        <f t="shared" ca="1" si="190"/>
        <v>-1.3462623531394391</v>
      </c>
      <c r="N436" s="304">
        <f t="shared" ca="1" si="191"/>
        <v>-77.135150952240679</v>
      </c>
      <c r="P436" s="310">
        <f t="shared" ca="1" si="192"/>
        <v>23</v>
      </c>
      <c r="Q436" s="304">
        <f t="shared" ca="1" si="193"/>
        <v>0</v>
      </c>
      <c r="R436" s="306">
        <f t="shared" ca="1" si="194"/>
        <v>0</v>
      </c>
      <c r="S436" s="307">
        <f t="shared" ca="1" si="195"/>
        <v>8.5499999999999989</v>
      </c>
      <c r="T436" s="304">
        <f t="shared" ca="1" si="175"/>
        <v>83.875499999999988</v>
      </c>
      <c r="U436" s="311">
        <f t="shared" ca="1" si="176"/>
        <v>0</v>
      </c>
      <c r="V436" s="306">
        <f t="shared" ca="1" si="177"/>
        <v>1.1265523744156731</v>
      </c>
      <c r="W436" s="304">
        <f t="shared" ca="1" si="178"/>
        <v>26.316676055327729</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6.5288844892056801</v>
      </c>
      <c r="AH436" s="304">
        <f t="shared" ca="1" si="202"/>
        <v>-3.0292776795561429</v>
      </c>
    </row>
    <row r="437" spans="1:34" x14ac:dyDescent="0.3">
      <c r="A437" s="347">
        <f t="shared" ca="1" si="180"/>
        <v>0.1</v>
      </c>
      <c r="B437" s="304">
        <f t="shared" ca="1" si="181"/>
        <v>25.300000000000093</v>
      </c>
      <c r="D437" s="306">
        <f t="shared" ca="1" si="182"/>
        <v>-0.68531720331566848</v>
      </c>
      <c r="E437" s="307">
        <f t="shared" ca="1" si="183"/>
        <v>-6.8092895688917938</v>
      </c>
      <c r="F437" s="304">
        <f t="shared" ca="1" si="184"/>
        <v>6.8436893633608911</v>
      </c>
      <c r="G437" s="306">
        <f t="shared" ca="1" si="185"/>
        <v>19.262863826179586</v>
      </c>
      <c r="H437" s="307">
        <f t="shared" ca="1" si="186"/>
        <v>-85.32482813765337</v>
      </c>
      <c r="I437" s="304">
        <f t="shared" ca="1" si="187"/>
        <v>87.472191120984405</v>
      </c>
      <c r="J437" s="306">
        <f t="shared" ca="1" si="188"/>
        <v>636.8289625178013</v>
      </c>
      <c r="K437" s="307">
        <f t="shared" ca="1" si="189"/>
        <v>828.80058920896067</v>
      </c>
      <c r="L437" s="304">
        <f t="shared" ca="1" si="174"/>
        <v>1045.2088519404242</v>
      </c>
      <c r="M437" s="306">
        <f t="shared" ca="1" si="190"/>
        <v>-1.3487593969800802</v>
      </c>
      <c r="N437" s="304">
        <f t="shared" ca="1" si="191"/>
        <v>-77.278221025568541</v>
      </c>
      <c r="P437" s="310">
        <f t="shared" ca="1" si="192"/>
        <v>23</v>
      </c>
      <c r="Q437" s="304">
        <f t="shared" ca="1" si="193"/>
        <v>0</v>
      </c>
      <c r="R437" s="306">
        <f t="shared" ca="1" si="194"/>
        <v>0</v>
      </c>
      <c r="S437" s="307">
        <f t="shared" ca="1" si="195"/>
        <v>8.5499999999999989</v>
      </c>
      <c r="T437" s="304">
        <f t="shared" ca="1" si="175"/>
        <v>83.875499999999988</v>
      </c>
      <c r="U437" s="311">
        <f t="shared" ca="1" si="176"/>
        <v>0</v>
      </c>
      <c r="V437" s="306">
        <f t="shared" ca="1" si="177"/>
        <v>1.1275118400425828</v>
      </c>
      <c r="W437" s="304">
        <f t="shared" ca="1" si="178"/>
        <v>26.734236346249812</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6.4857753237190714</v>
      </c>
      <c r="AH437" s="304">
        <f t="shared" ca="1" si="202"/>
        <v>-3.0779738076406704</v>
      </c>
    </row>
    <row r="438" spans="1:34" x14ac:dyDescent="0.3">
      <c r="A438" s="347">
        <f t="shared" ca="1" si="180"/>
        <v>0.1</v>
      </c>
      <c r="B438" s="304">
        <f t="shared" ca="1" si="181"/>
        <v>25.400000000000095</v>
      </c>
      <c r="D438" s="306">
        <f t="shared" ca="1" si="182"/>
        <v>-0.68857700835763125</v>
      </c>
      <c r="E438" s="307">
        <f t="shared" ca="1" si="183"/>
        <v>-6.7599491130802001</v>
      </c>
      <c r="F438" s="304">
        <f t="shared" ca="1" si="184"/>
        <v>6.79492827834647</v>
      </c>
      <c r="G438" s="306">
        <f t="shared" ca="1" si="185"/>
        <v>19.194006125343822</v>
      </c>
      <c r="H438" s="307">
        <f t="shared" ca="1" si="186"/>
        <v>-86.000823048961394</v>
      </c>
      <c r="I438" s="304">
        <f t="shared" ca="1" si="187"/>
        <v>88.116692154429543</v>
      </c>
      <c r="J438" s="306">
        <f t="shared" ca="1" si="188"/>
        <v>638.7518060153775</v>
      </c>
      <c r="K438" s="307">
        <f t="shared" ca="1" si="189"/>
        <v>820.23430664962996</v>
      </c>
      <c r="L438" s="304">
        <f t="shared" ca="1" si="174"/>
        <v>1039.6096322624687</v>
      </c>
      <c r="M438" s="306">
        <f t="shared" ca="1" si="190"/>
        <v>-1.3512110675053626</v>
      </c>
      <c r="N438" s="304">
        <f t="shared" ca="1" si="191"/>
        <v>-77.418691399423849</v>
      </c>
      <c r="P438" s="310">
        <f t="shared" ca="1" si="192"/>
        <v>23</v>
      </c>
      <c r="Q438" s="304">
        <f t="shared" ca="1" si="193"/>
        <v>0</v>
      </c>
      <c r="R438" s="306">
        <f t="shared" ca="1" si="194"/>
        <v>0</v>
      </c>
      <c r="S438" s="307">
        <f t="shared" ca="1" si="195"/>
        <v>8.5499999999999989</v>
      </c>
      <c r="T438" s="304">
        <f t="shared" ca="1" si="175"/>
        <v>83.875499999999988</v>
      </c>
      <c r="U438" s="311">
        <f t="shared" ca="1" si="176"/>
        <v>0</v>
      </c>
      <c r="V438" s="306">
        <f t="shared" ca="1" si="177"/>
        <v>1.1284797581192558</v>
      </c>
      <c r="W438" s="304">
        <f t="shared" ca="1" si="178"/>
        <v>27.152936615655822</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6.4423621258966035</v>
      </c>
      <c r="AH438" s="304">
        <f t="shared" ca="1" si="202"/>
        <v>-3.1268112685672298</v>
      </c>
    </row>
    <row r="439" spans="1:34" x14ac:dyDescent="0.3">
      <c r="A439" s="347">
        <f t="shared" ca="1" si="180"/>
        <v>0.1</v>
      </c>
      <c r="B439" s="304">
        <f t="shared" ca="1" si="181"/>
        <v>25.500000000000096</v>
      </c>
      <c r="D439" s="306">
        <f t="shared" ca="1" si="182"/>
        <v>-0.69176428243050991</v>
      </c>
      <c r="E439" s="307">
        <f t="shared" ca="1" si="183"/>
        <v>-6.7104752183368195</v>
      </c>
      <c r="F439" s="304">
        <f t="shared" ca="1" si="184"/>
        <v>6.7460370202333744</v>
      </c>
      <c r="G439" s="306">
        <f t="shared" ca="1" si="185"/>
        <v>19.124829697100772</v>
      </c>
      <c r="H439" s="307">
        <f t="shared" ca="1" si="186"/>
        <v>-86.671870570795079</v>
      </c>
      <c r="I439" s="304">
        <f t="shared" ca="1" si="187"/>
        <v>88.756815283017914</v>
      </c>
      <c r="J439" s="306">
        <f t="shared" ca="1" si="188"/>
        <v>640.66774780649973</v>
      </c>
      <c r="K439" s="307">
        <f t="shared" ca="1" si="189"/>
        <v>811.60067196864213</v>
      </c>
      <c r="L439" s="304">
        <f t="shared" ca="1" si="174"/>
        <v>1033.9974921726862</v>
      </c>
      <c r="M439" s="306">
        <f t="shared" ca="1" si="190"/>
        <v>-1.3536186166421098</v>
      </c>
      <c r="N439" s="304">
        <f t="shared" ca="1" si="191"/>
        <v>-77.556633803929827</v>
      </c>
      <c r="P439" s="310">
        <f t="shared" ca="1" si="192"/>
        <v>23</v>
      </c>
      <c r="Q439" s="304">
        <f t="shared" ca="1" si="193"/>
        <v>0</v>
      </c>
      <c r="R439" s="306">
        <f t="shared" ca="1" si="194"/>
        <v>0</v>
      </c>
      <c r="S439" s="307">
        <f t="shared" ca="1" si="195"/>
        <v>8.5499999999999989</v>
      </c>
      <c r="T439" s="304">
        <f t="shared" ca="1" si="175"/>
        <v>83.875499999999988</v>
      </c>
      <c r="U439" s="311">
        <f t="shared" ca="1" si="176"/>
        <v>0</v>
      </c>
      <c r="V439" s="306">
        <f t="shared" ca="1" si="177"/>
        <v>1.1294560926540651</v>
      </c>
      <c r="W439" s="304">
        <f t="shared" ca="1" si="178"/>
        <v>27.572708859105962</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6.3986589846588666</v>
      </c>
      <c r="AH439" s="304">
        <f t="shared" ca="1" si="202"/>
        <v>-3.175782060310623</v>
      </c>
    </row>
    <row r="440" spans="1:34" x14ac:dyDescent="0.3">
      <c r="A440" s="347">
        <f t="shared" ca="1" si="180"/>
        <v>0.1</v>
      </c>
      <c r="B440" s="304">
        <f t="shared" ca="1" si="181"/>
        <v>25.600000000000097</v>
      </c>
      <c r="D440" s="306">
        <f t="shared" ca="1" si="182"/>
        <v>-0.69487899863729274</v>
      </c>
      <c r="E440" s="307">
        <f t="shared" ca="1" si="183"/>
        <v>-6.6608758725634498</v>
      </c>
      <c r="F440" s="304">
        <f t="shared" ca="1" si="184"/>
        <v>6.6970235338129926</v>
      </c>
      <c r="G440" s="306">
        <f t="shared" ca="1" si="185"/>
        <v>19.055341797237041</v>
      </c>
      <c r="H440" s="307">
        <f t="shared" ca="1" si="186"/>
        <v>-87.337958158051421</v>
      </c>
      <c r="I440" s="304">
        <f t="shared" ca="1" si="187"/>
        <v>89.392533168196266</v>
      </c>
      <c r="J440" s="306">
        <f t="shared" ca="1" si="188"/>
        <v>642.57675638121657</v>
      </c>
      <c r="K440" s="307">
        <f t="shared" ca="1" si="189"/>
        <v>802.90018053219978</v>
      </c>
      <c r="L440" s="304">
        <f t="shared" ca="1" si="174"/>
        <v>1028.374244980904</v>
      </c>
      <c r="M440" s="306">
        <f t="shared" ca="1" si="190"/>
        <v>-1.3559832512070678</v>
      </c>
      <c r="N440" s="304">
        <f t="shared" ca="1" si="191"/>
        <v>-77.692117384592677</v>
      </c>
      <c r="P440" s="310">
        <f t="shared" ca="1" si="192"/>
        <v>23</v>
      </c>
      <c r="Q440" s="304">
        <f t="shared" ca="1" si="193"/>
        <v>0</v>
      </c>
      <c r="R440" s="306">
        <f t="shared" ca="1" si="194"/>
        <v>0</v>
      </c>
      <c r="S440" s="307">
        <f t="shared" ca="1" si="195"/>
        <v>8.5499999999999989</v>
      </c>
      <c r="T440" s="304">
        <f t="shared" ca="1" si="175"/>
        <v>83.875499999999988</v>
      </c>
      <c r="U440" s="311">
        <f t="shared" ca="1" si="176"/>
        <v>0</v>
      </c>
      <c r="V440" s="306">
        <f t="shared" ca="1" si="177"/>
        <v>1.1304408075204462</v>
      </c>
      <c r="W440" s="304">
        <f t="shared" ca="1" si="178"/>
        <v>27.993485502506843</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6.3546796627102111</v>
      </c>
      <c r="AH440" s="304">
        <f t="shared" ca="1" si="202"/>
        <v>-3.2248782291352005</v>
      </c>
    </row>
    <row r="441" spans="1:34" x14ac:dyDescent="0.3">
      <c r="A441" s="347">
        <f t="shared" ca="1" si="180"/>
        <v>0.1</v>
      </c>
      <c r="B441" s="304">
        <f t="shared" ca="1" si="181"/>
        <v>25.700000000000099</v>
      </c>
      <c r="D441" s="306">
        <f t="shared" ca="1" si="182"/>
        <v>-0.69792115156009982</v>
      </c>
      <c r="E441" s="307">
        <f t="shared" ca="1" si="183"/>
        <v>-6.6111590145597212</v>
      </c>
      <c r="F441" s="304">
        <f t="shared" ca="1" si="184"/>
        <v>6.6478957159080974</v>
      </c>
      <c r="G441" s="306">
        <f t="shared" ca="1" si="185"/>
        <v>18.985549682081032</v>
      </c>
      <c r="H441" s="307">
        <f t="shared" ca="1" si="186"/>
        <v>-87.999074059507393</v>
      </c>
      <c r="I441" s="304">
        <f t="shared" ca="1" si="187"/>
        <v>90.023819803768788</v>
      </c>
      <c r="J441" s="306">
        <f t="shared" ca="1" si="188"/>
        <v>644.47880095518246</v>
      </c>
      <c r="K441" s="307">
        <f t="shared" ca="1" si="189"/>
        <v>794.13332892132189</v>
      </c>
      <c r="L441" s="304">
        <f t="shared" ca="1" si="174"/>
        <v>1022.7417410980595</v>
      </c>
      <c r="M441" s="306">
        <f t="shared" ca="1" si="190"/>
        <v>-1.3583061348735892</v>
      </c>
      <c r="N441" s="304">
        <f t="shared" ca="1" si="191"/>
        <v>-77.825208814984222</v>
      </c>
      <c r="P441" s="310">
        <f t="shared" ca="1" si="192"/>
        <v>23</v>
      </c>
      <c r="Q441" s="304">
        <f t="shared" ca="1" si="193"/>
        <v>0</v>
      </c>
      <c r="R441" s="306">
        <f t="shared" ca="1" si="194"/>
        <v>0</v>
      </c>
      <c r="S441" s="307">
        <f t="shared" ca="1" si="195"/>
        <v>8.5499999999999989</v>
      </c>
      <c r="T441" s="304">
        <f t="shared" ca="1" si="175"/>
        <v>83.875499999999988</v>
      </c>
      <c r="U441" s="311">
        <f t="shared" ca="1" si="176"/>
        <v>0</v>
      </c>
      <c r="V441" s="306">
        <f t="shared" ca="1" si="177"/>
        <v>1.1314338664621728</v>
      </c>
      <c r="W441" s="304">
        <f t="shared" ca="1" si="178"/>
        <v>28.415199419175028</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6.3104376093465264</v>
      </c>
      <c r="AH441" s="304">
        <f t="shared" ca="1" si="202"/>
        <v>-3.2740918716382277</v>
      </c>
    </row>
    <row r="442" spans="1:34" x14ac:dyDescent="0.3">
      <c r="A442" s="347">
        <f t="shared" ca="1" si="180"/>
        <v>0.1</v>
      </c>
      <c r="B442" s="304">
        <f t="shared" ca="1" si="181"/>
        <v>25.8000000000001</v>
      </c>
      <c r="D442" s="306">
        <f t="shared" ca="1" si="182"/>
        <v>-0.70089075680637292</v>
      </c>
      <c r="E442" s="307">
        <f t="shared" ca="1" si="183"/>
        <v>-6.5613325319181595</v>
      </c>
      <c r="F442" s="304">
        <f t="shared" ca="1" si="184"/>
        <v>6.5986614133007446</v>
      </c>
      <c r="G442" s="306">
        <f t="shared" ca="1" si="185"/>
        <v>18.915460606400394</v>
      </c>
      <c r="H442" s="307">
        <f t="shared" ca="1" si="186"/>
        <v>-88.655207312699204</v>
      </c>
      <c r="I442" s="304">
        <f t="shared" ca="1" si="187"/>
        <v>90.650650486413824</v>
      </c>
      <c r="J442" s="306">
        <f t="shared" ca="1" si="188"/>
        <v>646.37385146960651</v>
      </c>
      <c r="K442" s="307">
        <f t="shared" ca="1" si="189"/>
        <v>785.30061485271153</v>
      </c>
      <c r="L442" s="304">
        <f t="shared" ca="1" si="174"/>
        <v>1017.1018688173273</v>
      </c>
      <c r="M442" s="306">
        <f t="shared" ca="1" si="190"/>
        <v>-1.360588390038783</v>
      </c>
      <c r="N442" s="304">
        <f t="shared" ca="1" si="191"/>
        <v>-77.955972403721759</v>
      </c>
      <c r="P442" s="310">
        <f t="shared" ca="1" si="192"/>
        <v>23</v>
      </c>
      <c r="Q442" s="304">
        <f t="shared" ca="1" si="193"/>
        <v>0</v>
      </c>
      <c r="R442" s="306">
        <f t="shared" ca="1" si="194"/>
        <v>0</v>
      </c>
      <c r="S442" s="307">
        <f t="shared" ca="1" si="195"/>
        <v>8.5499999999999989</v>
      </c>
      <c r="T442" s="304">
        <f t="shared" ca="1" si="175"/>
        <v>83.875499999999988</v>
      </c>
      <c r="U442" s="311">
        <f t="shared" ca="1" si="176"/>
        <v>0</v>
      </c>
      <c r="V442" s="306">
        <f t="shared" ca="1" si="177"/>
        <v>1.1324352330986107</v>
      </c>
      <c r="W442" s="304">
        <f t="shared" ca="1" si="178"/>
        <v>28.83778394648839</v>
      </c>
      <c r="Y442" s="314" t="str">
        <f t="shared" ca="1" si="196"/>
        <v/>
      </c>
      <c r="Z442" s="315" t="str">
        <f t="shared" ca="1" si="197"/>
        <v/>
      </c>
      <c r="AA442" s="316" t="str">
        <f t="shared" ca="1" si="198"/>
        <v/>
      </c>
      <c r="AC442" s="310" t="e">
        <f t="shared" ca="1" si="199"/>
        <v>#N/A</v>
      </c>
      <c r="AD442" s="323" t="e">
        <f t="shared" ca="1" si="200"/>
        <v>#N/A</v>
      </c>
      <c r="AE442" s="324" t="e">
        <f t="shared" ca="1" si="179"/>
        <v>#N/A</v>
      </c>
      <c r="AG442" s="306">
        <f t="shared" ca="1" si="201"/>
        <v>6.2659459724085966</v>
      </c>
      <c r="AH442" s="304">
        <f t="shared" ca="1" si="202"/>
        <v>-3.3234151367456177</v>
      </c>
    </row>
    <row r="443" spans="1:34" x14ac:dyDescent="0.3">
      <c r="A443" s="347">
        <f t="shared" ca="1" si="180"/>
        <v>0.1</v>
      </c>
      <c r="B443" s="304">
        <f t="shared" ca="1" si="181"/>
        <v>25.900000000000102</v>
      </c>
      <c r="D443" s="306">
        <f t="shared" ca="1" si="182"/>
        <v>-0.7037878505630456</v>
      </c>
      <c r="E443" s="307">
        <f t="shared" ca="1" si="183"/>
        <v>-6.5114042589735597</v>
      </c>
      <c r="F443" s="304">
        <f t="shared" ca="1" si="184"/>
        <v>6.5493284207145361</v>
      </c>
      <c r="G443" s="306">
        <f t="shared" ca="1" si="185"/>
        <v>18.845081821344088</v>
      </c>
      <c r="H443" s="307">
        <f t="shared" ca="1" si="186"/>
        <v>-89.306347738596557</v>
      </c>
      <c r="I443" s="304">
        <f t="shared" ca="1" si="187"/>
        <v>91.273001787277067</v>
      </c>
      <c r="J443" s="306">
        <f t="shared" ca="1" si="188"/>
        <v>648.26187859099377</v>
      </c>
      <c r="K443" s="307">
        <f t="shared" ca="1" si="189"/>
        <v>776.40253710014679</v>
      </c>
      <c r="L443" s="304">
        <f t="shared" ca="1" si="174"/>
        <v>1011.4565550975826</v>
      </c>
      <c r="M443" s="306">
        <f t="shared" ca="1" si="190"/>
        <v>-1.3628310995967925</v>
      </c>
      <c r="N443" s="304">
        <f t="shared" ca="1" si="191"/>
        <v>-78.084470196069361</v>
      </c>
      <c r="P443" s="310">
        <f t="shared" ca="1" si="192"/>
        <v>23</v>
      </c>
      <c r="Q443" s="304">
        <f t="shared" ca="1" si="193"/>
        <v>0</v>
      </c>
      <c r="R443" s="306">
        <f t="shared" ca="1" si="194"/>
        <v>0</v>
      </c>
      <c r="S443" s="307">
        <f t="shared" ca="1" si="195"/>
        <v>8.5499999999999989</v>
      </c>
      <c r="T443" s="304">
        <f t="shared" ca="1" si="175"/>
        <v>83.875499999999988</v>
      </c>
      <c r="U443" s="311">
        <f t="shared" ca="1" si="176"/>
        <v>0</v>
      </c>
      <c r="V443" s="306">
        <f t="shared" ca="1" si="177"/>
        <v>1.1334448709299576</v>
      </c>
      <c r="W443" s="304">
        <f t="shared" ca="1" si="178"/>
        <v>29.261172902122173</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6.2212176094426095</v>
      </c>
      <c r="AH443" s="304">
        <f t="shared" ca="1" si="202"/>
        <v>-3.3728402276594611</v>
      </c>
    </row>
    <row r="444" spans="1:34" x14ac:dyDescent="0.3">
      <c r="A444" s="347">
        <f t="shared" ca="1" si="180"/>
        <v>0.1</v>
      </c>
      <c r="B444" s="304">
        <f t="shared" ca="1" si="181"/>
        <v>26.000000000000103</v>
      </c>
      <c r="D444" s="306">
        <f t="shared" ca="1" si="182"/>
        <v>-0.70661248915817787</v>
      </c>
      <c r="E444" s="307">
        <f t="shared" ca="1" si="183"/>
        <v>-6.4613819748066952</v>
      </c>
      <c r="F444" s="304">
        <f t="shared" ca="1" si="184"/>
        <v>6.499904478851299</v>
      </c>
      <c r="G444" s="306">
        <f t="shared" ca="1" si="185"/>
        <v>18.774420572428269</v>
      </c>
      <c r="H444" s="307">
        <f t="shared" ca="1" si="186"/>
        <v>-89.952485936077224</v>
      </c>
      <c r="I444" s="304">
        <f t="shared" ca="1" si="187"/>
        <v>91.89085152457011</v>
      </c>
      <c r="J444" s="306">
        <f t="shared" ca="1" si="188"/>
        <v>650.1428537106824</v>
      </c>
      <c r="K444" s="307">
        <f t="shared" ca="1" si="189"/>
        <v>767.43959541641311</v>
      </c>
      <c r="L444" s="304">
        <f t="shared" ca="1" si="174"/>
        <v>1005.8077663470181</v>
      </c>
      <c r="M444" s="306">
        <f t="shared" ca="1" si="190"/>
        <v>-1.3650353086235232</v>
      </c>
      <c r="N444" s="304">
        <f t="shared" ca="1" si="191"/>
        <v>-78.210762070465663</v>
      </c>
      <c r="P444" s="310">
        <f t="shared" ca="1" si="192"/>
        <v>23</v>
      </c>
      <c r="Q444" s="304">
        <f t="shared" ca="1" si="193"/>
        <v>0</v>
      </c>
      <c r="R444" s="306">
        <f t="shared" ca="1" si="194"/>
        <v>0</v>
      </c>
      <c r="S444" s="307">
        <f t="shared" ca="1" si="195"/>
        <v>8.5499999999999989</v>
      </c>
      <c r="T444" s="304">
        <f t="shared" ca="1" si="175"/>
        <v>83.875499999999988</v>
      </c>
      <c r="U444" s="311">
        <f t="shared" ca="1" si="176"/>
        <v>0</v>
      </c>
      <c r="V444" s="306">
        <f t="shared" ca="1" si="177"/>
        <v>1.1344627433424581</v>
      </c>
      <c r="W444" s="304">
        <f t="shared" ca="1" si="178"/>
        <v>29.685300599865638</v>
      </c>
      <c r="Y444" s="314" t="str">
        <f t="shared" ca="1" si="196"/>
        <v/>
      </c>
      <c r="Z444" s="315" t="str">
        <f t="shared" ca="1" si="197"/>
        <v/>
      </c>
      <c r="AA444" s="316" t="str">
        <f t="shared" ca="1" si="198"/>
        <v/>
      </c>
      <c r="AC444" s="310">
        <f t="shared" ca="1" si="199"/>
        <v>26.000000000000103</v>
      </c>
      <c r="AD444" s="323">
        <f t="shared" ca="1" si="200"/>
        <v>650.1428537106824</v>
      </c>
      <c r="AE444" s="324" t="e">
        <f t="shared" ca="1" si="179"/>
        <v>#N/A</v>
      </c>
      <c r="AG444" s="306">
        <f t="shared" ca="1" si="201"/>
        <v>6.1762650981245262</v>
      </c>
      <c r="AH444" s="304">
        <f t="shared" ca="1" si="202"/>
        <v>-3.4223594037569796</v>
      </c>
    </row>
    <row r="445" spans="1:34" x14ac:dyDescent="0.3">
      <c r="A445" s="347">
        <f t="shared" ca="1" si="180"/>
        <v>0.1</v>
      </c>
      <c r="B445" s="304">
        <f t="shared" ca="1" si="181"/>
        <v>26.100000000000104</v>
      </c>
      <c r="D445" s="306">
        <f t="shared" ca="1" si="182"/>
        <v>-0.70936474862952914</v>
      </c>
      <c r="E445" s="307">
        <f t="shared" ca="1" si="183"/>
        <v>-6.4112734013024362</v>
      </c>
      <c r="F445" s="304">
        <f t="shared" ca="1" si="184"/>
        <v>6.4503972724822409</v>
      </c>
      <c r="G445" s="306">
        <f t="shared" ca="1" si="185"/>
        <v>18.703484097565315</v>
      </c>
      <c r="H445" s="307">
        <f t="shared" ca="1" si="186"/>
        <v>-90.593613276207464</v>
      </c>
      <c r="I445" s="304">
        <f t="shared" ca="1" si="187"/>
        <v>92.504178737108475</v>
      </c>
      <c r="J445" s="306">
        <f t="shared" ca="1" si="188"/>
        <v>652.01674894418204</v>
      </c>
      <c r="K445" s="307">
        <f t="shared" ca="1" si="189"/>
        <v>758.41229045579882</v>
      </c>
      <c r="L445" s="304">
        <f t="shared" ca="1" si="174"/>
        <v>1000.1575092045009</v>
      </c>
      <c r="M445" s="306">
        <f t="shared" ca="1" si="190"/>
        <v>-1.3672020259778026</v>
      </c>
      <c r="N445" s="304">
        <f t="shared" ca="1" si="191"/>
        <v>-78.334905830263622</v>
      </c>
      <c r="P445" s="310">
        <f t="shared" ca="1" si="192"/>
        <v>23</v>
      </c>
      <c r="Q445" s="304">
        <f t="shared" ca="1" si="193"/>
        <v>0</v>
      </c>
      <c r="R445" s="306">
        <f t="shared" ca="1" si="194"/>
        <v>0</v>
      </c>
      <c r="S445" s="307">
        <f t="shared" ca="1" si="195"/>
        <v>8.5499999999999989</v>
      </c>
      <c r="T445" s="304">
        <f t="shared" ca="1" si="175"/>
        <v>83.875499999999988</v>
      </c>
      <c r="U445" s="311">
        <f t="shared" ca="1" si="176"/>
        <v>0</v>
      </c>
      <c r="V445" s="306">
        <f t="shared" ca="1" si="177"/>
        <v>1.135488813613601</v>
      </c>
      <c r="W445" s="304">
        <f t="shared" ca="1" si="178"/>
        <v>30.110101865016603</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6.1311007460012057</v>
      </c>
      <c r="AH445" s="304">
        <f t="shared" ca="1" si="202"/>
        <v>-3.4719649824404257</v>
      </c>
    </row>
    <row r="446" spans="1:34" x14ac:dyDescent="0.3">
      <c r="A446" s="347">
        <f t="shared" ca="1" si="180"/>
        <v>0.1</v>
      </c>
      <c r="B446" s="304">
        <f t="shared" ca="1" si="181"/>
        <v>26.200000000000106</v>
      </c>
      <c r="D446" s="306">
        <f t="shared" ca="1" si="182"/>
        <v>-0.71204472429962928</v>
      </c>
      <c r="E446" s="307">
        <f t="shared" ca="1" si="183"/>
        <v>-6.3610862012622871</v>
      </c>
      <c r="F446" s="304">
        <f t="shared" ca="1" si="184"/>
        <v>6.4008144285936304</v>
      </c>
      <c r="G446" s="306">
        <f t="shared" ca="1" si="185"/>
        <v>18.632279625135354</v>
      </c>
      <c r="H446" s="307">
        <f t="shared" ca="1" si="186"/>
        <v>-91.229721896333686</v>
      </c>
      <c r="I446" s="304">
        <f t="shared" ca="1" si="187"/>
        <v>93.112963658728106</v>
      </c>
      <c r="J446" s="306">
        <f t="shared" ca="1" si="188"/>
        <v>653.88353713031711</v>
      </c>
      <c r="K446" s="307">
        <f t="shared" ca="1" si="189"/>
        <v>749.32112369717174</v>
      </c>
      <c r="L446" s="304">
        <f t="shared" ca="1" si="174"/>
        <v>994.50783131599667</v>
      </c>
      <c r="M446" s="306">
        <f t="shared" ca="1" si="190"/>
        <v>-1.3693322258236524</v>
      </c>
      <c r="N446" s="304">
        <f t="shared" ca="1" si="191"/>
        <v>-78.456957290950243</v>
      </c>
      <c r="P446" s="310">
        <f t="shared" ca="1" si="192"/>
        <v>23</v>
      </c>
      <c r="Q446" s="304">
        <f t="shared" ca="1" si="193"/>
        <v>0</v>
      </c>
      <c r="R446" s="306">
        <f t="shared" ca="1" si="194"/>
        <v>0</v>
      </c>
      <c r="S446" s="307">
        <f t="shared" ca="1" si="195"/>
        <v>8.5499999999999989</v>
      </c>
      <c r="T446" s="304">
        <f t="shared" ca="1" si="175"/>
        <v>83.875499999999988</v>
      </c>
      <c r="U446" s="311">
        <f t="shared" ca="1" si="176"/>
        <v>0</v>
      </c>
      <c r="V446" s="306">
        <f t="shared" ca="1" si="177"/>
        <v>1.1365230449172903</v>
      </c>
      <c r="W446" s="304">
        <f t="shared" ca="1" si="178"/>
        <v>30.535512049350697</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6.0857365995969808</v>
      </c>
      <c r="AH446" s="304">
        <f t="shared" ca="1" si="202"/>
        <v>-3.5216493409376146</v>
      </c>
    </row>
    <row r="447" spans="1:34" x14ac:dyDescent="0.3">
      <c r="A447" s="347">
        <f t="shared" ca="1" si="180"/>
        <v>0.1</v>
      </c>
      <c r="B447" s="304">
        <f t="shared" ca="1" si="181"/>
        <v>26.300000000000107</v>
      </c>
      <c r="D447" s="306">
        <f t="shared" ca="1" si="182"/>
        <v>-0.71465253035691811</v>
      </c>
      <c r="E447" s="307">
        <f t="shared" ca="1" si="183"/>
        <v>-6.3108279765713773</v>
      </c>
      <c r="F447" s="304">
        <f t="shared" ca="1" si="184"/>
        <v>6.351163514587034</v>
      </c>
      <c r="G447" s="306">
        <f t="shared" ca="1" si="185"/>
        <v>18.560814372099664</v>
      </c>
      <c r="H447" s="307">
        <f t="shared" ca="1" si="186"/>
        <v>-91.860804693990829</v>
      </c>
      <c r="I447" s="304">
        <f t="shared" ca="1" si="187"/>
        <v>93.717187693523272</v>
      </c>
      <c r="J447" s="306">
        <f t="shared" ca="1" si="188"/>
        <v>655.74319183017883</v>
      </c>
      <c r="K447" s="307">
        <f t="shared" ca="1" si="189"/>
        <v>740.16659736765553</v>
      </c>
      <c r="L447" s="304">
        <f t="shared" ca="1" si="174"/>
        <v>988.86082210311258</v>
      </c>
      <c r="M447" s="306">
        <f t="shared" ca="1" si="190"/>
        <v>-1.3714268490780588</v>
      </c>
      <c r="N447" s="304">
        <f t="shared" ca="1" si="191"/>
        <v>-78.576970363097686</v>
      </c>
      <c r="P447" s="310">
        <f t="shared" ca="1" si="192"/>
        <v>23</v>
      </c>
      <c r="Q447" s="304">
        <f t="shared" ca="1" si="193"/>
        <v>0</v>
      </c>
      <c r="R447" s="306">
        <f t="shared" ca="1" si="194"/>
        <v>0</v>
      </c>
      <c r="S447" s="307">
        <f t="shared" ca="1" si="195"/>
        <v>8.5499999999999989</v>
      </c>
      <c r="T447" s="304">
        <f t="shared" ca="1" si="175"/>
        <v>83.875499999999988</v>
      </c>
      <c r="U447" s="311">
        <f t="shared" ca="1" si="176"/>
        <v>0</v>
      </c>
      <c r="V447" s="306">
        <f t="shared" ca="1" si="177"/>
        <v>1.1375654003289966</v>
      </c>
      <c r="W447" s="304">
        <f t="shared" ca="1" si="178"/>
        <v>30.961467045663341</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6.0401844529311042</v>
      </c>
      <c r="AH447" s="304">
        <f t="shared" ca="1" si="202"/>
        <v>-3.5714049180527137</v>
      </c>
    </row>
    <row r="448" spans="1:34" x14ac:dyDescent="0.3">
      <c r="A448" s="347">
        <f t="shared" ca="1" si="180"/>
        <v>0.1</v>
      </c>
      <c r="B448" s="304">
        <f t="shared" ca="1" si="181"/>
        <v>26.400000000000109</v>
      </c>
      <c r="D448" s="306">
        <f t="shared" ca="1" si="182"/>
        <v>-0.7171882994425971</v>
      </c>
      <c r="E448" s="307">
        <f t="shared" ca="1" si="183"/>
        <v>-6.2605062664198687</v>
      </c>
      <c r="F448" s="304">
        <f t="shared" ca="1" si="184"/>
        <v>6.301452036534104</v>
      </c>
      <c r="G448" s="306">
        <f t="shared" ca="1" si="185"/>
        <v>18.489095542155404</v>
      </c>
      <c r="H448" s="307">
        <f t="shared" ca="1" si="186"/>
        <v>-92.486855320632813</v>
      </c>
      <c r="I448" s="304">
        <f t="shared" ca="1" si="187"/>
        <v>94.316833391853322</v>
      </c>
      <c r="J448" s="306">
        <f t="shared" ca="1" si="188"/>
        <v>657.59568732589162</v>
      </c>
      <c r="K448" s="307">
        <f t="shared" ca="1" si="189"/>
        <v>730.94921436692437</v>
      </c>
      <c r="L448" s="304">
        <f t="shared" ca="1" si="174"/>
        <v>983.21861352053122</v>
      </c>
      <c r="M448" s="306">
        <f t="shared" ca="1" si="190"/>
        <v>-1.373486804788361</v>
      </c>
      <c r="N448" s="304">
        <f t="shared" ca="1" si="191"/>
        <v>-78.69499713128188</v>
      </c>
      <c r="P448" s="310">
        <f t="shared" ca="1" si="192"/>
        <v>23</v>
      </c>
      <c r="Q448" s="304">
        <f t="shared" ca="1" si="193"/>
        <v>0</v>
      </c>
      <c r="R448" s="306">
        <f t="shared" ca="1" si="194"/>
        <v>0</v>
      </c>
      <c r="S448" s="307">
        <f t="shared" ca="1" si="195"/>
        <v>8.5499999999999989</v>
      </c>
      <c r="T448" s="304">
        <f t="shared" ca="1" si="175"/>
        <v>83.875499999999988</v>
      </c>
      <c r="U448" s="311">
        <f t="shared" ca="1" si="176"/>
        <v>0</v>
      </c>
      <c r="V448" s="306">
        <f t="shared" ca="1" si="177"/>
        <v>1.1386158428308779</v>
      </c>
      <c r="W448" s="304">
        <f t="shared" ca="1" si="178"/>
        <v>31.387903301881991</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5.994455855487967</v>
      </c>
      <c r="AH448" s="304">
        <f t="shared" ca="1" si="202"/>
        <v>-3.6212242158670578</v>
      </c>
    </row>
    <row r="449" spans="1:34" x14ac:dyDescent="0.3">
      <c r="A449" s="347">
        <f t="shared" ca="1" si="180"/>
        <v>0.1</v>
      </c>
      <c r="B449" s="304">
        <f t="shared" ca="1" si="181"/>
        <v>26.50000000000011</v>
      </c>
      <c r="D449" s="306">
        <f t="shared" ca="1" si="182"/>
        <v>-0.71965218224284455</v>
      </c>
      <c r="E449" s="307">
        <f t="shared" ca="1" si="183"/>
        <v>-6.2101285455787938</v>
      </c>
      <c r="F449" s="304">
        <f t="shared" ca="1" si="184"/>
        <v>6.2516874374859368</v>
      </c>
      <c r="G449" s="306">
        <f t="shared" ca="1" si="185"/>
        <v>18.417130323931119</v>
      </c>
      <c r="H449" s="307">
        <f t="shared" ca="1" si="186"/>
        <v>-93.107868175190688</v>
      </c>
      <c r="I449" s="304">
        <f t="shared" ca="1" si="187"/>
        <v>94.911884427069239</v>
      </c>
      <c r="J449" s="306">
        <f t="shared" ca="1" si="188"/>
        <v>659.44099861919597</v>
      </c>
      <c r="K449" s="307">
        <f t="shared" ca="1" si="189"/>
        <v>721.66947819213317</v>
      </c>
      <c r="L449" s="304">
        <f t="shared" ca="1" si="174"/>
        <v>977.58338079878797</v>
      </c>
      <c r="M449" s="306">
        <f t="shared" ca="1" si="190"/>
        <v>-1.3755129714431296</v>
      </c>
      <c r="N449" s="304">
        <f t="shared" ca="1" si="191"/>
        <v>-78.811087929190251</v>
      </c>
      <c r="P449" s="310">
        <f t="shared" ca="1" si="192"/>
        <v>23</v>
      </c>
      <c r="Q449" s="304">
        <f t="shared" ca="1" si="193"/>
        <v>0</v>
      </c>
      <c r="R449" s="306">
        <f t="shared" ca="1" si="194"/>
        <v>0</v>
      </c>
      <c r="S449" s="307">
        <f t="shared" ca="1" si="195"/>
        <v>8.5499999999999989</v>
      </c>
      <c r="T449" s="304">
        <f t="shared" ca="1" si="175"/>
        <v>83.875499999999988</v>
      </c>
      <c r="U449" s="311">
        <f t="shared" ca="1" si="176"/>
        <v>0</v>
      </c>
      <c r="V449" s="306">
        <f t="shared" ca="1" si="177"/>
        <v>1.1396743353168772</v>
      </c>
      <c r="W449" s="304">
        <f t="shared" ca="1" si="178"/>
        <v>31.81475783474712</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5.9485621196791598</v>
      </c>
      <c r="AH449" s="304">
        <f t="shared" ca="1" si="202"/>
        <v>-3.6710998013897069</v>
      </c>
    </row>
    <row r="450" spans="1:34" x14ac:dyDescent="0.3">
      <c r="A450" s="347">
        <f t="shared" ca="1" si="180"/>
        <v>0.1</v>
      </c>
      <c r="B450" s="304">
        <f t="shared" ca="1" si="181"/>
        <v>26.600000000000112</v>
      </c>
      <c r="D450" s="306">
        <f t="shared" ca="1" si="182"/>
        <v>-0.72204434708608745</v>
      </c>
      <c r="E450" s="307">
        <f t="shared" ca="1" si="183"/>
        <v>-6.1597022227302531</v>
      </c>
      <c r="F450" s="304">
        <f t="shared" ca="1" si="184"/>
        <v>6.2018770958369522</v>
      </c>
      <c r="G450" s="306">
        <f t="shared" ca="1" si="185"/>
        <v>18.344925889222509</v>
      </c>
      <c r="H450" s="307">
        <f t="shared" ca="1" si="186"/>
        <v>-93.723838397463709</v>
      </c>
      <c r="I450" s="304">
        <f t="shared" ca="1" si="187"/>
        <v>95.502325572914501</v>
      </c>
      <c r="J450" s="306">
        <f t="shared" ca="1" si="188"/>
        <v>661.27910142985365</v>
      </c>
      <c r="K450" s="307">
        <f t="shared" ca="1" si="189"/>
        <v>712.32789286350044</v>
      </c>
      <c r="L450" s="304">
        <f t="shared" ca="1" si="174"/>
        <v>971.95734316853088</v>
      </c>
      <c r="M450" s="306">
        <f t="shared" ca="1" si="190"/>
        <v>-1.3775061982201644</v>
      </c>
      <c r="N450" s="304">
        <f t="shared" ca="1" si="191"/>
        <v>-78.925291411126807</v>
      </c>
      <c r="P450" s="310">
        <f t="shared" ca="1" si="192"/>
        <v>23</v>
      </c>
      <c r="Q450" s="304">
        <f t="shared" ca="1" si="193"/>
        <v>0</v>
      </c>
      <c r="R450" s="306">
        <f t="shared" ca="1" si="194"/>
        <v>0</v>
      </c>
      <c r="S450" s="307">
        <f t="shared" ca="1" si="195"/>
        <v>8.5499999999999989</v>
      </c>
      <c r="T450" s="304">
        <f t="shared" ca="1" si="175"/>
        <v>83.875499999999988</v>
      </c>
      <c r="U450" s="311">
        <f t="shared" ca="1" si="176"/>
        <v>0</v>
      </c>
      <c r="V450" s="306">
        <f t="shared" ca="1" si="177"/>
        <v>1.1407408405977923</v>
      </c>
      <c r="W450" s="304">
        <f t="shared" ca="1" si="178"/>
        <v>32.241968243060732</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5.9025143278335186</v>
      </c>
      <c r="AH450" s="304">
        <f t="shared" ca="1" si="202"/>
        <v>-3.7210243081575585</v>
      </c>
    </row>
    <row r="451" spans="1:34" x14ac:dyDescent="0.3">
      <c r="A451" s="347">
        <f t="shared" ca="1" si="180"/>
        <v>0.1</v>
      </c>
      <c r="B451" s="304">
        <f t="shared" ca="1" si="181"/>
        <v>26.700000000000113</v>
      </c>
      <c r="D451" s="306">
        <f t="shared" ca="1" si="182"/>
        <v>-0.72436497954506573</v>
      </c>
      <c r="E451" s="307">
        <f t="shared" ca="1" si="183"/>
        <v>-6.1092346388518921</v>
      </c>
      <c r="F451" s="304">
        <f t="shared" ca="1" si="184"/>
        <v>6.152028323743246</v>
      </c>
      <c r="G451" s="306">
        <f t="shared" ca="1" si="185"/>
        <v>18.272489391268003</v>
      </c>
      <c r="H451" s="307">
        <f t="shared" ca="1" si="186"/>
        <v>-94.334761861348895</v>
      </c>
      <c r="I451" s="304">
        <f t="shared" ca="1" si="187"/>
        <v>96.088142681557784</v>
      </c>
      <c r="J451" s="306">
        <f t="shared" ca="1" si="188"/>
        <v>663.10997219387821</v>
      </c>
      <c r="K451" s="307">
        <f t="shared" ca="1" si="189"/>
        <v>702.92496285055984</v>
      </c>
      <c r="L451" s="304">
        <f t="shared" ca="1" si="174"/>
        <v>966.34276456205066</v>
      </c>
      <c r="M451" s="306">
        <f t="shared" ca="1" si="190"/>
        <v>-1.37946730617503</v>
      </c>
      <c r="N451" s="304">
        <f t="shared" ca="1" si="191"/>
        <v>-79.037654620110146</v>
      </c>
      <c r="P451" s="310">
        <f t="shared" ca="1" si="192"/>
        <v>23</v>
      </c>
      <c r="Q451" s="304">
        <f t="shared" ca="1" si="193"/>
        <v>0</v>
      </c>
      <c r="R451" s="306">
        <f t="shared" ca="1" si="194"/>
        <v>0</v>
      </c>
      <c r="S451" s="307">
        <f t="shared" ca="1" si="195"/>
        <v>8.5499999999999989</v>
      </c>
      <c r="T451" s="304">
        <f t="shared" ca="1" si="175"/>
        <v>83.875499999999988</v>
      </c>
      <c r="U451" s="311">
        <f t="shared" ca="1" si="176"/>
        <v>0</v>
      </c>
      <c r="V451" s="306">
        <f t="shared" ca="1" si="177"/>
        <v>1.1418153214063165</v>
      </c>
      <c r="W451" s="304">
        <f t="shared" ca="1" si="178"/>
        <v>32.669472720500927</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5.8563233387487408</v>
      </c>
      <c r="AH451" s="304">
        <f t="shared" ca="1" si="202"/>
        <v>-3.7709904377848815</v>
      </c>
    </row>
    <row r="452" spans="1:34" x14ac:dyDescent="0.3">
      <c r="A452" s="347">
        <f t="shared" ca="1" si="180"/>
        <v>0.1</v>
      </c>
      <c r="B452" s="304">
        <f t="shared" ca="1" si="181"/>
        <v>26.800000000000114</v>
      </c>
      <c r="D452" s="306">
        <f t="shared" ca="1" si="182"/>
        <v>-0.7266142820434337</v>
      </c>
      <c r="E452" s="307">
        <f t="shared" ca="1" si="183"/>
        <v>-6.0587330656556126</v>
      </c>
      <c r="F452" s="304">
        <f t="shared" ca="1" si="184"/>
        <v>6.1021483655953626</v>
      </c>
      <c r="G452" s="306">
        <f t="shared" ca="1" si="185"/>
        <v>18.199827963063658</v>
      </c>
      <c r="H452" s="307">
        <f t="shared" ca="1" si="186"/>
        <v>-94.940635167914451</v>
      </c>
      <c r="I452" s="304">
        <f t="shared" ca="1" si="187"/>
        <v>96.66932266221869</v>
      </c>
      <c r="J452" s="306">
        <f t="shared" ca="1" si="188"/>
        <v>664.93358806159483</v>
      </c>
      <c r="K452" s="307">
        <f t="shared" ca="1" si="189"/>
        <v>693.46119299909662</v>
      </c>
      <c r="L452" s="304">
        <f t="shared" ref="L452:L515" ca="1" si="203">SQRT(pos_x^2+pos_z^2)</f>
        <v>960.74195428751682</v>
      </c>
      <c r="M452" s="306">
        <f t="shared" ca="1" si="190"/>
        <v>-1.3813970893733363</v>
      </c>
      <c r="N452" s="304">
        <f t="shared" ca="1" si="191"/>
        <v>-79.148223052748349</v>
      </c>
      <c r="P452" s="310">
        <f t="shared" ca="1" si="192"/>
        <v>23</v>
      </c>
      <c r="Q452" s="304">
        <f t="shared" ca="1" si="193"/>
        <v>0</v>
      </c>
      <c r="R452" s="306">
        <f t="shared" ca="1" si="194"/>
        <v>0</v>
      </c>
      <c r="S452" s="307">
        <f t="shared" ca="1" si="195"/>
        <v>8.5499999999999989</v>
      </c>
      <c r="T452" s="304">
        <f t="shared" ref="T452:T515" ca="1" si="204">m*g</f>
        <v>83.875499999999988</v>
      </c>
      <c r="U452" s="311">
        <f t="shared" ref="U452:U515" ca="1" si="205">IF(pos_xz&lt;L_rampe,Poids*COS(Beta),0)</f>
        <v>0</v>
      </c>
      <c r="V452" s="306">
        <f t="shared" ref="V452:V515" ca="1" si="206">Rho_moyen*(20000-Alt_rampe-pos_z)/(20000+Alt_rampe+pos_z)</f>
        <v>1.1428977404020466</v>
      </c>
      <c r="W452" s="304">
        <f t="shared" ref="W452:W515" ca="1" si="207">1/2*Rho*Sref*Cx*vit_xz^2</f>
        <v>33.097210068002269</v>
      </c>
      <c r="Y452" s="314" t="str">
        <f t="shared" ca="1" si="196"/>
        <v/>
      </c>
      <c r="Z452" s="315" t="str">
        <f t="shared" ca="1" si="197"/>
        <v/>
      </c>
      <c r="AA452" s="316" t="str">
        <f t="shared" ca="1" si="198"/>
        <v/>
      </c>
      <c r="AC452" s="310" t="e">
        <f t="shared" ca="1" si="199"/>
        <v>#N/A</v>
      </c>
      <c r="AD452" s="323" t="e">
        <f t="shared" ca="1" si="200"/>
        <v>#N/A</v>
      </c>
      <c r="AE452" s="324" t="e">
        <f t="shared" ref="AE452:AE515" ca="1" si="208">IF(t&lt;T_para, pos_z, NA())</f>
        <v>#N/A</v>
      </c>
      <c r="AG452" s="306">
        <f t="shared" ca="1" si="201"/>
        <v>5.8099997938358428</v>
      </c>
      <c r="AH452" s="304">
        <f t="shared" ca="1" si="202"/>
        <v>-3.8209909614620972</v>
      </c>
    </row>
    <row r="453" spans="1:34" x14ac:dyDescent="0.3">
      <c r="A453" s="347">
        <f t="shared" ref="A453:A516" ca="1" si="209">IF(B452+0.01&lt;=T_ini+ROUNDUP(Temps_fin_propu,0), 0.01, IF(K452&gt;0, 0.1, 0.0001))</f>
        <v>0.1</v>
      </c>
      <c r="B453" s="304">
        <f t="shared" ref="B453:B516" ca="1" si="210">B452+pas</f>
        <v>26.900000000000116</v>
      </c>
      <c r="D453" s="306">
        <f t="shared" ref="D453:D516" ca="1" si="211">IF(AND(L452&lt;L_rampe,Poussee&lt;Poids*SIN(M452)),0,(-W452+Poussee)/m*COS(M452)-U452/m*SIN(M452))</f>
        <v>-0.72879247346668374</v>
      </c>
      <c r="E453" s="307">
        <f t="shared" ref="E453:E516" ca="1" si="212">IF(AND(L452&lt;L_rampe,Poussee&lt;Poids*SIN(M452)),0,(-W452+Poussee)/m*SIN(M452)+U452/m*COS(M452)-Poids/m)</f>
        <v>-6.0082047040803443</v>
      </c>
      <c r="F453" s="304">
        <f t="shared" ref="F453:F516" ca="1" si="213">SQRT(acc_x^2+acc_z^2)</f>
        <v>6.0522443965453725</v>
      </c>
      <c r="G453" s="306">
        <f t="shared" ref="G453:G516" ca="1" si="214">G452+acc_x*pas</f>
        <v>18.126948715716988</v>
      </c>
      <c r="H453" s="307">
        <f t="shared" ref="H453:H516" ca="1" si="215">H452+acc_z*pas</f>
        <v>-95.541455638322489</v>
      </c>
      <c r="I453" s="304">
        <f t="shared" ref="I453:I516" ca="1" si="216">SQRT(vit_x^2+vit_z^2)</f>
        <v>97.245853460349551</v>
      </c>
      <c r="J453" s="306">
        <f t="shared" ref="J453:J516" ca="1" si="217">J452+0.5*(vit_x+G452)*pas*(K452&gt;=0)</f>
        <v>666.74992689553392</v>
      </c>
      <c r="K453" s="307">
        <f t="shared" ref="K453:K516" ca="1" si="218">K452+0.5*(vit_z+H452)*pas</f>
        <v>683.93708845878473</v>
      </c>
      <c r="L453" s="304">
        <f t="shared" ca="1" si="203"/>
        <v>955.15726767097328</v>
      </c>
      <c r="M453" s="306">
        <f t="shared" ref="M453:M516" ca="1" si="219">IF(AND(L452&gt;L_rampe,G453&gt;0),ATAN2(G453,H453),$M$4)</f>
        <v>-1.3832963159697818</v>
      </c>
      <c r="N453" s="304">
        <f t="shared" ref="N453:N516" ca="1" si="220">DEGREES(Beta)</f>
        <v>-79.257040721063674</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8.5499999999999989</v>
      </c>
      <c r="T453" s="304">
        <f t="shared" ca="1" si="204"/>
        <v>83.875499999999988</v>
      </c>
      <c r="U453" s="311">
        <f t="shared" ca="1" si="205"/>
        <v>0</v>
      </c>
      <c r="V453" s="306">
        <f t="shared" ca="1" si="206"/>
        <v>1.1439880601764645</v>
      </c>
      <c r="W453" s="304">
        <f t="shared" ca="1" si="207"/>
        <v>33.525119705701371</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5.7635541228854041</v>
      </c>
      <c r="AH453" s="304">
        <f t="shared" ref="AH453:AH516" ca="1" si="231">IF(AND(L452&lt;L_rampe,Poussee&lt;Poids*SIN(M452)), g*SIN(M452), (-W452+Poussee)/m)</f>
        <v>-3.8710187214037748</v>
      </c>
    </row>
    <row r="454" spans="1:34" x14ac:dyDescent="0.3">
      <c r="A454" s="347">
        <f t="shared" ca="1" si="209"/>
        <v>0.1</v>
      </c>
      <c r="B454" s="304">
        <f t="shared" ca="1" si="210"/>
        <v>27.000000000000117</v>
      </c>
      <c r="D454" s="306">
        <f t="shared" ca="1" si="211"/>
        <v>-0.7308997887772023</v>
      </c>
      <c r="E454" s="307">
        <f t="shared" ca="1" si="212"/>
        <v>-5.9576566828387865</v>
      </c>
      <c r="F454" s="304">
        <f t="shared" ca="1" si="213"/>
        <v>6.0023235210881642</v>
      </c>
      <c r="G454" s="306">
        <f t="shared" ca="1" si="214"/>
        <v>18.053858736839267</v>
      </c>
      <c r="H454" s="307">
        <f t="shared" ca="1" si="215"/>
        <v>-96.137221306606364</v>
      </c>
      <c r="I454" s="304">
        <f t="shared" ca="1" si="216"/>
        <v>97.817724037339758</v>
      </c>
      <c r="J454" s="306">
        <f t="shared" ca="1" si="217"/>
        <v>668.55896726816172</v>
      </c>
      <c r="K454" s="307">
        <f t="shared" ca="1" si="218"/>
        <v>674.35315461153823</v>
      </c>
      <c r="L454" s="304">
        <f t="shared" ca="1" si="203"/>
        <v>949.59110666075856</v>
      </c>
      <c r="M454" s="306">
        <f t="shared" ca="1" si="219"/>
        <v>-1.3851657292368016</v>
      </c>
      <c r="N454" s="304">
        <f t="shared" ca="1" si="220"/>
        <v>-79.364150211429674</v>
      </c>
      <c r="P454" s="310">
        <f t="shared" ca="1" si="221"/>
        <v>23</v>
      </c>
      <c r="Q454" s="304">
        <f t="shared" ca="1" si="222"/>
        <v>0</v>
      </c>
      <c r="R454" s="306">
        <f t="shared" ca="1" si="223"/>
        <v>0</v>
      </c>
      <c r="S454" s="307">
        <f t="shared" ca="1" si="224"/>
        <v>8.5499999999999989</v>
      </c>
      <c r="T454" s="304">
        <f t="shared" ca="1" si="204"/>
        <v>83.875499999999988</v>
      </c>
      <c r="U454" s="311">
        <f t="shared" ca="1" si="205"/>
        <v>0</v>
      </c>
      <c r="V454" s="306">
        <f t="shared" ca="1" si="206"/>
        <v>1.1450862432578821</v>
      </c>
      <c r="W454" s="304">
        <f t="shared" ca="1" si="207"/>
        <v>33.953141684447502</v>
      </c>
      <c r="Y454" s="314" t="str">
        <f t="shared" ca="1" si="225"/>
        <v/>
      </c>
      <c r="Z454" s="315" t="str">
        <f t="shared" ca="1" si="226"/>
        <v/>
      </c>
      <c r="AA454" s="316" t="str">
        <f t="shared" ca="1" si="227"/>
        <v/>
      </c>
      <c r="AC454" s="310">
        <f t="shared" ca="1" si="228"/>
        <v>27.000000000000117</v>
      </c>
      <c r="AD454" s="323">
        <f t="shared" ca="1" si="229"/>
        <v>668.55896726816172</v>
      </c>
      <c r="AE454" s="324" t="e">
        <f t="shared" ca="1" si="208"/>
        <v>#N/A</v>
      </c>
      <c r="AG454" s="306">
        <f t="shared" ca="1" si="230"/>
        <v>5.7169965494825554</v>
      </c>
      <c r="AH454" s="304">
        <f t="shared" ca="1" si="231"/>
        <v>-3.921066632245775</v>
      </c>
    </row>
    <row r="455" spans="1:34" x14ac:dyDescent="0.3">
      <c r="A455" s="347">
        <f t="shared" ca="1" si="209"/>
        <v>0.1</v>
      </c>
      <c r="B455" s="304">
        <f t="shared" ca="1" si="210"/>
        <v>27.100000000000119</v>
      </c>
      <c r="D455" s="306">
        <f t="shared" ca="1" si="211"/>
        <v>-0.73293647863326628</v>
      </c>
      <c r="E455" s="307">
        <f t="shared" ca="1" si="212"/>
        <v>-5.9070960570179389</v>
      </c>
      <c r="F455" s="304">
        <f t="shared" ca="1" si="213"/>
        <v>5.9523927716967915</v>
      </c>
      <c r="G455" s="306">
        <f t="shared" ca="1" si="214"/>
        <v>17.98056508897594</v>
      </c>
      <c r="H455" s="307">
        <f t="shared" ca="1" si="215"/>
        <v>-96.727930912308153</v>
      </c>
      <c r="I455" s="304">
        <f t="shared" ca="1" si="216"/>
        <v>98.384924350711159</v>
      </c>
      <c r="J455" s="306">
        <f t="shared" ca="1" si="217"/>
        <v>670.36068845945249</v>
      </c>
      <c r="K455" s="307">
        <f t="shared" ca="1" si="218"/>
        <v>664.70989700059249</v>
      </c>
      <c r="L455" s="304">
        <f t="shared" ca="1" si="203"/>
        <v>944.04592038860551</v>
      </c>
      <c r="M455" s="306">
        <f t="shared" ca="1" si="219"/>
        <v>-1.3870060485454867</v>
      </c>
      <c r="N455" s="304">
        <f t="shared" ca="1" si="220"/>
        <v>-79.469592740773763</v>
      </c>
      <c r="P455" s="310">
        <f t="shared" ca="1" si="221"/>
        <v>23</v>
      </c>
      <c r="Q455" s="304">
        <f t="shared" ca="1" si="222"/>
        <v>0</v>
      </c>
      <c r="R455" s="306">
        <f t="shared" ca="1" si="223"/>
        <v>0</v>
      </c>
      <c r="S455" s="307">
        <f t="shared" ca="1" si="224"/>
        <v>8.5499999999999989</v>
      </c>
      <c r="T455" s="304">
        <f t="shared" ca="1" si="204"/>
        <v>83.875499999999988</v>
      </c>
      <c r="U455" s="311">
        <f t="shared" ca="1" si="205"/>
        <v>0</v>
      </c>
      <c r="V455" s="306">
        <f t="shared" ca="1" si="206"/>
        <v>1.1461922521163566</v>
      </c>
      <c r="W455" s="304">
        <f t="shared" ca="1" si="207"/>
        <v>34.381216696878916</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5.6703370960958468</v>
      </c>
      <c r="AH455" s="304">
        <f t="shared" ca="1" si="231"/>
        <v>-3.9711276823915211</v>
      </c>
    </row>
    <row r="456" spans="1:34" x14ac:dyDescent="0.3">
      <c r="A456" s="347">
        <f t="shared" ca="1" si="209"/>
        <v>0.1</v>
      </c>
      <c r="B456" s="304">
        <f t="shared" ca="1" si="210"/>
        <v>27.20000000000012</v>
      </c>
      <c r="D456" s="306">
        <f t="shared" ca="1" si="211"/>
        <v>-0.73490280901185467</v>
      </c>
      <c r="E456" s="307">
        <f t="shared" ca="1" si="212"/>
        <v>-5.8565298067332066</v>
      </c>
      <c r="F456" s="304">
        <f t="shared" ca="1" si="213"/>
        <v>5.9024591075117163</v>
      </c>
      <c r="G456" s="306">
        <f t="shared" ca="1" si="214"/>
        <v>17.907074808074753</v>
      </c>
      <c r="H456" s="307">
        <f t="shared" ca="1" si="215"/>
        <v>-97.31358389298147</v>
      </c>
      <c r="I456" s="304">
        <f t="shared" ca="1" si="216"/>
        <v>98.94744533477521</v>
      </c>
      <c r="J456" s="306">
        <f t="shared" ca="1" si="217"/>
        <v>672.15507045430502</v>
      </c>
      <c r="K456" s="307">
        <f t="shared" ca="1" si="218"/>
        <v>655.007821260328</v>
      </c>
      <c r="L456" s="304">
        <f t="shared" ca="1" si="203"/>
        <v>938.52420568125649</v>
      </c>
      <c r="M456" s="306">
        <f t="shared" ca="1" si="219"/>
        <v>-1.3888179703012911</v>
      </c>
      <c r="N456" s="304">
        <f t="shared" ca="1" si="220"/>
        <v>-79.573408210189285</v>
      </c>
      <c r="P456" s="310">
        <f t="shared" ca="1" si="221"/>
        <v>23</v>
      </c>
      <c r="Q456" s="304">
        <f t="shared" ca="1" si="222"/>
        <v>0</v>
      </c>
      <c r="R456" s="306">
        <f t="shared" ca="1" si="223"/>
        <v>0</v>
      </c>
      <c r="S456" s="307">
        <f t="shared" ca="1" si="224"/>
        <v>8.5499999999999989</v>
      </c>
      <c r="T456" s="304">
        <f t="shared" ca="1" si="204"/>
        <v>83.875499999999988</v>
      </c>
      <c r="U456" s="311">
        <f t="shared" ca="1" si="205"/>
        <v>0</v>
      </c>
      <c r="V456" s="306">
        <f t="shared" ca="1" si="206"/>
        <v>1.1473060491685698</v>
      </c>
      <c r="W456" s="304">
        <f t="shared" ca="1" si="207"/>
        <v>34.809286088065022</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5.6235855888631869</v>
      </c>
      <c r="AH456" s="304">
        <f t="shared" ca="1" si="231"/>
        <v>-4.0211949353074763</v>
      </c>
    </row>
    <row r="457" spans="1:34" x14ac:dyDescent="0.3">
      <c r="A457" s="347">
        <f t="shared" ca="1" si="209"/>
        <v>0.1</v>
      </c>
      <c r="B457" s="304">
        <f t="shared" ca="1" si="210"/>
        <v>27.300000000000122</v>
      </c>
      <c r="D457" s="306">
        <f t="shared" ca="1" si="211"/>
        <v>-0.73679906083511915</v>
      </c>
      <c r="E457" s="307">
        <f t="shared" ca="1" si="212"/>
        <v>-5.8059648358359075</v>
      </c>
      <c r="F457" s="304">
        <f t="shared" ca="1" si="213"/>
        <v>5.8525294130837642</v>
      </c>
      <c r="G457" s="306">
        <f t="shared" ca="1" si="214"/>
        <v>17.833394901991241</v>
      </c>
      <c r="H457" s="307">
        <f t="shared" ca="1" si="215"/>
        <v>-97.89418037656506</v>
      </c>
      <c r="I457" s="304">
        <f t="shared" ca="1" si="216"/>
        <v>99.505278881724777</v>
      </c>
      <c r="J457" s="306">
        <f t="shared" ca="1" si="217"/>
        <v>673.94209393980827</v>
      </c>
      <c r="K457" s="307">
        <f t="shared" ca="1" si="218"/>
        <v>645.24743304685069</v>
      </c>
      <c r="L457" s="304">
        <f t="shared" ca="1" si="203"/>
        <v>933.02850751599408</v>
      </c>
      <c r="M457" s="306">
        <f t="shared" ca="1" si="219"/>
        <v>-1.3906021688368939</v>
      </c>
      <c r="N457" s="304">
        <f t="shared" ca="1" si="220"/>
        <v>-79.675635256092747</v>
      </c>
      <c r="P457" s="310">
        <f t="shared" ca="1" si="221"/>
        <v>23</v>
      </c>
      <c r="Q457" s="304">
        <f t="shared" ca="1" si="222"/>
        <v>0</v>
      </c>
      <c r="R457" s="306">
        <f t="shared" ca="1" si="223"/>
        <v>0</v>
      </c>
      <c r="S457" s="307">
        <f t="shared" ca="1" si="224"/>
        <v>8.5499999999999989</v>
      </c>
      <c r="T457" s="304">
        <f t="shared" ca="1" si="204"/>
        <v>83.875499999999988</v>
      </c>
      <c r="U457" s="311">
        <f t="shared" ca="1" si="205"/>
        <v>0</v>
      </c>
      <c r="V457" s="306">
        <f t="shared" ca="1" si="206"/>
        <v>1.1484275967826714</v>
      </c>
      <c r="W457" s="304">
        <f t="shared" ca="1" si="207"/>
        <v>35.23729186571537</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5.5767516620966413</v>
      </c>
      <c r="AH457" s="304">
        <f t="shared" ca="1" si="231"/>
        <v>-4.0712615307678393</v>
      </c>
    </row>
    <row r="458" spans="1:34" x14ac:dyDescent="0.3">
      <c r="A458" s="347">
        <f t="shared" ca="1" si="209"/>
        <v>0.1</v>
      </c>
      <c r="B458" s="304">
        <f t="shared" ca="1" si="210"/>
        <v>27.400000000000123</v>
      </c>
      <c r="D458" s="306">
        <f t="shared" ca="1" si="211"/>
        <v>-0.7386255296004034</v>
      </c>
      <c r="E458" s="307">
        <f t="shared" ca="1" si="212"/>
        <v>-5.7554079706739323</v>
      </c>
      <c r="F458" s="304">
        <f t="shared" ca="1" si="213"/>
        <v>5.8026104971706065</v>
      </c>
      <c r="G458" s="306">
        <f t="shared" ca="1" si="214"/>
        <v>17.7595323490312</v>
      </c>
      <c r="H458" s="307">
        <f t="shared" ca="1" si="215"/>
        <v>-98.46972117363245</v>
      </c>
      <c r="I458" s="304">
        <f t="shared" ca="1" si="216"/>
        <v>100.05841782313573</v>
      </c>
      <c r="J458" s="306">
        <f t="shared" ca="1" si="217"/>
        <v>675.72174030235942</v>
      </c>
      <c r="K458" s="307">
        <f t="shared" ca="1" si="218"/>
        <v>635.42923796934076</v>
      </c>
      <c r="L458" s="304">
        <f t="shared" ca="1" si="203"/>
        <v>927.56141941304691</v>
      </c>
      <c r="M458" s="306">
        <f t="shared" ca="1" si="219"/>
        <v>-1.3923592972644441</v>
      </c>
      <c r="N458" s="304">
        <f t="shared" ca="1" si="220"/>
        <v>-79.77631129905383</v>
      </c>
      <c r="P458" s="310">
        <f t="shared" ca="1" si="221"/>
        <v>23</v>
      </c>
      <c r="Q458" s="304">
        <f t="shared" ca="1" si="222"/>
        <v>0</v>
      </c>
      <c r="R458" s="306">
        <f t="shared" ca="1" si="223"/>
        <v>0</v>
      </c>
      <c r="S458" s="307">
        <f t="shared" ca="1" si="224"/>
        <v>8.5499999999999989</v>
      </c>
      <c r="T458" s="304">
        <f t="shared" ca="1" si="204"/>
        <v>83.875499999999988</v>
      </c>
      <c r="U458" s="311">
        <f t="shared" ca="1" si="205"/>
        <v>0</v>
      </c>
      <c r="V458" s="306">
        <f t="shared" ca="1" si="206"/>
        <v>1.149556857283087</v>
      </c>
      <c r="W458" s="304">
        <f t="shared" ca="1" si="207"/>
        <v>35.665176709956832</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5.529844762526233</v>
      </c>
      <c r="AH458" s="304">
        <f t="shared" ca="1" si="231"/>
        <v>-4.1213206860485823</v>
      </c>
    </row>
    <row r="459" spans="1:34" x14ac:dyDescent="0.3">
      <c r="A459" s="347">
        <f t="shared" ca="1" si="209"/>
        <v>0.1</v>
      </c>
      <c r="B459" s="304">
        <f t="shared" ca="1" si="210"/>
        <v>27.500000000000124</v>
      </c>
      <c r="D459" s="306">
        <f t="shared" ca="1" si="211"/>
        <v>-0.7403825250137207</v>
      </c>
      <c r="E459" s="307">
        <f t="shared" ca="1" si="212"/>
        <v>-5.7048659589052733</v>
      </c>
      <c r="F459" s="304">
        <f t="shared" ca="1" si="213"/>
        <v>5.7527090915864916</v>
      </c>
      <c r="G459" s="306">
        <f t="shared" ca="1" si="214"/>
        <v>17.68549409652983</v>
      </c>
      <c r="H459" s="307">
        <f t="shared" ca="1" si="215"/>
        <v>-99.040207769522979</v>
      </c>
      <c r="I459" s="304">
        <f t="shared" ca="1" si="216"/>
        <v>100.60685591185459</v>
      </c>
      <c r="J459" s="306">
        <f t="shared" ca="1" si="217"/>
        <v>677.49399162463749</v>
      </c>
      <c r="K459" s="307">
        <f t="shared" ca="1" si="218"/>
        <v>625.55374152218303</v>
      </c>
      <c r="L459" s="304">
        <f t="shared" ca="1" si="203"/>
        <v>922.12558375737876</v>
      </c>
      <c r="M459" s="306">
        <f t="shared" ca="1" si="219"/>
        <v>-1.3940899882892925</v>
      </c>
      <c r="N459" s="304">
        <f t="shared" ca="1" si="220"/>
        <v>-79.875472590418823</v>
      </c>
      <c r="P459" s="310">
        <f t="shared" ca="1" si="221"/>
        <v>23</v>
      </c>
      <c r="Q459" s="304">
        <f t="shared" ca="1" si="222"/>
        <v>0</v>
      </c>
      <c r="R459" s="306">
        <f t="shared" ca="1" si="223"/>
        <v>0</v>
      </c>
      <c r="S459" s="307">
        <f t="shared" ca="1" si="224"/>
        <v>8.5499999999999989</v>
      </c>
      <c r="T459" s="304">
        <f t="shared" ca="1" si="204"/>
        <v>83.875499999999988</v>
      </c>
      <c r="U459" s="311">
        <f t="shared" ca="1" si="205"/>
        <v>0</v>
      </c>
      <c r="V459" s="306">
        <f t="shared" ca="1" si="206"/>
        <v>1.1506937929552896</v>
      </c>
      <c r="W459" s="304">
        <f t="shared" ca="1" si="207"/>
        <v>36.092883982680171</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5.4828741533014789</v>
      </c>
      <c r="AH459" s="304">
        <f t="shared" ca="1" si="231"/>
        <v>-4.1713656970709749</v>
      </c>
    </row>
    <row r="460" spans="1:34" x14ac:dyDescent="0.3">
      <c r="A460" s="347">
        <f t="shared" ca="1" si="209"/>
        <v>0.1</v>
      </c>
      <c r="B460" s="304">
        <f t="shared" ca="1" si="210"/>
        <v>27.600000000000126</v>
      </c>
      <c r="D460" s="306">
        <f t="shared" ca="1" si="211"/>
        <v>-0.74207037062658054</v>
      </c>
      <c r="E460" s="307">
        <f t="shared" ca="1" si="212"/>
        <v>-5.6543454683641379</v>
      </c>
      <c r="F460" s="304">
        <f t="shared" ca="1" si="213"/>
        <v>5.7028318501049924</v>
      </c>
      <c r="G460" s="306">
        <f t="shared" ca="1" si="214"/>
        <v>17.611287059467173</v>
      </c>
      <c r="H460" s="307">
        <f t="shared" ca="1" si="215"/>
        <v>-99.605642316359393</v>
      </c>
      <c r="I460" s="304">
        <f t="shared" ca="1" si="216"/>
        <v>101.15058780425095</v>
      </c>
      <c r="J460" s="306">
        <f t="shared" ca="1" si="217"/>
        <v>679.25883068243729</v>
      </c>
      <c r="K460" s="307">
        <f t="shared" ca="1" si="218"/>
        <v>615.62144901788895</v>
      </c>
      <c r="L460" s="304">
        <f t="shared" ca="1" si="203"/>
        <v>916.72369204191364</v>
      </c>
      <c r="M460" s="306">
        <f t="shared" ca="1" si="219"/>
        <v>-1.3957948549871853</v>
      </c>
      <c r="N460" s="304">
        <f t="shared" ca="1" si="220"/>
        <v>-79.973154256840473</v>
      </c>
      <c r="P460" s="310">
        <f t="shared" ca="1" si="221"/>
        <v>23</v>
      </c>
      <c r="Q460" s="304">
        <f t="shared" ca="1" si="222"/>
        <v>0</v>
      </c>
      <c r="R460" s="306">
        <f t="shared" ca="1" si="223"/>
        <v>0</v>
      </c>
      <c r="S460" s="307">
        <f t="shared" ca="1" si="224"/>
        <v>8.5499999999999989</v>
      </c>
      <c r="T460" s="304">
        <f t="shared" ca="1" si="204"/>
        <v>83.875499999999988</v>
      </c>
      <c r="U460" s="311">
        <f t="shared" ca="1" si="205"/>
        <v>0</v>
      </c>
      <c r="V460" s="306">
        <f t="shared" ca="1" si="206"/>
        <v>1.1518383660505329</v>
      </c>
      <c r="W460" s="304">
        <f t="shared" ca="1" si="207"/>
        <v>36.520357736457953</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5.4358489177682268</v>
      </c>
      <c r="AH460" s="304">
        <f t="shared" ca="1" si="231"/>
        <v>-4.2213899394947569</v>
      </c>
    </row>
    <row r="461" spans="1:34" x14ac:dyDescent="0.3">
      <c r="A461" s="347">
        <f t="shared" ca="1" si="209"/>
        <v>0.1</v>
      </c>
      <c r="B461" s="304">
        <f t="shared" ca="1" si="210"/>
        <v>27.700000000000127</v>
      </c>
      <c r="D461" s="306">
        <f t="shared" ca="1" si="211"/>
        <v>-0.74368940347612478</v>
      </c>
      <c r="E461" s="307">
        <f t="shared" ca="1" si="212"/>
        <v>-5.6038530859793543</v>
      </c>
      <c r="F461" s="304">
        <f t="shared" ca="1" si="213"/>
        <v>5.6529853474144973</v>
      </c>
      <c r="G461" s="306">
        <f t="shared" ca="1" si="214"/>
        <v>17.536918119119562</v>
      </c>
      <c r="H461" s="307">
        <f t="shared" ca="1" si="215"/>
        <v>-100.16602762495732</v>
      </c>
      <c r="I461" s="304">
        <f t="shared" ca="1" si="216"/>
        <v>101.68960904281428</v>
      </c>
      <c r="J461" s="306">
        <f t="shared" ca="1" si="217"/>
        <v>681.01624094136662</v>
      </c>
      <c r="K461" s="307">
        <f t="shared" ca="1" si="218"/>
        <v>605.63286552082309</v>
      </c>
      <c r="L461" s="304">
        <f t="shared" ca="1" si="203"/>
        <v>911.35848502379838</v>
      </c>
      <c r="M461" s="306">
        <f t="shared" ca="1" si="219"/>
        <v>-1.3974744915467907</v>
      </c>
      <c r="N461" s="304">
        <f t="shared" ca="1" si="220"/>
        <v>-80.069390342821748</v>
      </c>
      <c r="P461" s="310">
        <f t="shared" ca="1" si="221"/>
        <v>23</v>
      </c>
      <c r="Q461" s="304">
        <f t="shared" ca="1" si="222"/>
        <v>0</v>
      </c>
      <c r="R461" s="306">
        <f t="shared" ca="1" si="223"/>
        <v>0</v>
      </c>
      <c r="S461" s="307">
        <f t="shared" ca="1" si="224"/>
        <v>8.5499999999999989</v>
      </c>
      <c r="T461" s="304">
        <f t="shared" ca="1" si="204"/>
        <v>83.875499999999988</v>
      </c>
      <c r="U461" s="311">
        <f t="shared" ca="1" si="205"/>
        <v>0</v>
      </c>
      <c r="V461" s="306">
        <f t="shared" ca="1" si="206"/>
        <v>1.1529905387905439</v>
      </c>
      <c r="W461" s="304">
        <f t="shared" ca="1" si="207"/>
        <v>36.947542723035504</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5.3887779630369765</v>
      </c>
      <c r="AH461" s="304">
        <f t="shared" ca="1" si="231"/>
        <v>-4.271386869761165</v>
      </c>
    </row>
    <row r="462" spans="1:34" x14ac:dyDescent="0.3">
      <c r="A462" s="347">
        <f t="shared" ca="1" si="209"/>
        <v>0.1</v>
      </c>
      <c r="B462" s="304">
        <f t="shared" ca="1" si="210"/>
        <v>27.800000000000129</v>
      </c>
      <c r="D462" s="306">
        <f t="shared" ca="1" si="211"/>
        <v>-0.74523997372847484</v>
      </c>
      <c r="E462" s="307">
        <f t="shared" ca="1" si="212"/>
        <v>-5.5533953167447105</v>
      </c>
      <c r="F462" s="304">
        <f t="shared" ca="1" si="213"/>
        <v>5.6031760781261282</v>
      </c>
      <c r="G462" s="306">
        <f t="shared" ca="1" si="214"/>
        <v>17.462394121746716</v>
      </c>
      <c r="H462" s="307">
        <f t="shared" ca="1" si="215"/>
        <v>-100.7213671566318</v>
      </c>
      <c r="I462" s="304">
        <f t="shared" ca="1" si="216"/>
        <v>102.22391603907688</v>
      </c>
      <c r="J462" s="306">
        <f t="shared" ca="1" si="217"/>
        <v>682.76620655340992</v>
      </c>
      <c r="K462" s="307">
        <f t="shared" ca="1" si="218"/>
        <v>595.58849578174363</v>
      </c>
      <c r="L462" s="304">
        <f t="shared" ca="1" si="203"/>
        <v>906.03275278485035</v>
      </c>
      <c r="M462" s="306">
        <f t="shared" ca="1" si="219"/>
        <v>-1.3991294739793183</v>
      </c>
      <c r="N462" s="304">
        <f t="shared" ca="1" si="220"/>
        <v>-80.164213851373873</v>
      </c>
      <c r="P462" s="310">
        <f t="shared" ca="1" si="221"/>
        <v>23</v>
      </c>
      <c r="Q462" s="304">
        <f t="shared" ca="1" si="222"/>
        <v>0</v>
      </c>
      <c r="R462" s="306">
        <f t="shared" ca="1" si="223"/>
        <v>0</v>
      </c>
      <c r="S462" s="307">
        <f t="shared" ca="1" si="224"/>
        <v>8.5499999999999989</v>
      </c>
      <c r="T462" s="304">
        <f t="shared" ca="1" si="204"/>
        <v>83.875499999999988</v>
      </c>
      <c r="U462" s="311">
        <f t="shared" ca="1" si="205"/>
        <v>0</v>
      </c>
      <c r="V462" s="306">
        <f t="shared" ca="1" si="206"/>
        <v>1.1541502733721771</v>
      </c>
      <c r="W462" s="304">
        <f t="shared" ca="1" si="207"/>
        <v>37.374384401397521</v>
      </c>
      <c r="Y462" s="314" t="str">
        <f t="shared" ca="1" si="225"/>
        <v/>
      </c>
      <c r="Z462" s="315" t="str">
        <f t="shared" ca="1" si="226"/>
        <v/>
      </c>
      <c r="AA462" s="316" t="str">
        <f t="shared" ca="1" si="227"/>
        <v/>
      </c>
      <c r="AC462" s="310" t="e">
        <f t="shared" ca="1" si="228"/>
        <v>#N/A</v>
      </c>
      <c r="AD462" s="323" t="e">
        <f t="shared" ca="1" si="229"/>
        <v>#N/A</v>
      </c>
      <c r="AE462" s="324" t="e">
        <f t="shared" ca="1" si="208"/>
        <v>#N/A</v>
      </c>
      <c r="AG462" s="306">
        <f t="shared" ca="1" si="230"/>
        <v>5.341670023357926</v>
      </c>
      <c r="AH462" s="304">
        <f t="shared" ca="1" si="231"/>
        <v>-4.3213500260860247</v>
      </c>
    </row>
    <row r="463" spans="1:34" x14ac:dyDescent="0.3">
      <c r="A463" s="347">
        <f t="shared" ca="1" si="209"/>
        <v>0.1</v>
      </c>
      <c r="B463" s="304">
        <f t="shared" ca="1" si="210"/>
        <v>27.90000000000013</v>
      </c>
      <c r="D463" s="306">
        <f t="shared" ca="1" si="211"/>
        <v>-0.7467224443252708</v>
      </c>
      <c r="E463" s="307">
        <f t="shared" ca="1" si="212"/>
        <v>-5.5029785827408659</v>
      </c>
      <c r="F463" s="304">
        <f t="shared" ca="1" si="213"/>
        <v>5.553410455833764</v>
      </c>
      <c r="G463" s="306">
        <f t="shared" ca="1" si="214"/>
        <v>17.387721877314188</v>
      </c>
      <c r="H463" s="307">
        <f t="shared" ca="1" si="215"/>
        <v>-101.27166501490589</v>
      </c>
      <c r="I463" s="304">
        <f t="shared" ca="1" si="216"/>
        <v>102.75350605684531</v>
      </c>
      <c r="J463" s="306">
        <f t="shared" ca="1" si="217"/>
        <v>684.50871235336297</v>
      </c>
      <c r="K463" s="307">
        <f t="shared" ca="1" si="218"/>
        <v>585.48884417316674</v>
      </c>
      <c r="L463" s="304">
        <f t="shared" ca="1" si="203"/>
        <v>900.74933468689812</v>
      </c>
      <c r="M463" s="306">
        <f t="shared" ca="1" si="219"/>
        <v>-1.4007603607968895</v>
      </c>
      <c r="N463" s="304">
        <f t="shared" ca="1" si="220"/>
        <v>-80.257656782884226</v>
      </c>
      <c r="P463" s="310">
        <f t="shared" ca="1" si="221"/>
        <v>23</v>
      </c>
      <c r="Q463" s="304">
        <f t="shared" ca="1" si="222"/>
        <v>0</v>
      </c>
      <c r="R463" s="306">
        <f t="shared" ca="1" si="223"/>
        <v>0</v>
      </c>
      <c r="S463" s="307">
        <f t="shared" ca="1" si="224"/>
        <v>8.5499999999999989</v>
      </c>
      <c r="T463" s="304">
        <f t="shared" ca="1" si="204"/>
        <v>83.875499999999988</v>
      </c>
      <c r="U463" s="311">
        <f t="shared" ca="1" si="205"/>
        <v>0</v>
      </c>
      <c r="V463" s="306">
        <f t="shared" ca="1" si="206"/>
        <v>1.1553175319720288</v>
      </c>
      <c r="W463" s="304">
        <f t="shared" ca="1" si="207"/>
        <v>37.80082894541259</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5.2945336633167921</v>
      </c>
      <c r="AH463" s="304">
        <f t="shared" ca="1" si="231"/>
        <v>-4.3712730294032189</v>
      </c>
    </row>
    <row r="464" spans="1:34" x14ac:dyDescent="0.3">
      <c r="A464" s="347">
        <f t="shared" ca="1" si="209"/>
        <v>0.1</v>
      </c>
      <c r="B464" s="304">
        <f t="shared" ca="1" si="210"/>
        <v>28.000000000000131</v>
      </c>
      <c r="D464" s="306">
        <f t="shared" ca="1" si="211"/>
        <v>-0.74813719063334794</v>
      </c>
      <c r="E464" s="307">
        <f t="shared" ca="1" si="212"/>
        <v>-5.4526092222084497</v>
      </c>
      <c r="F464" s="304">
        <f t="shared" ca="1" si="213"/>
        <v>5.5036948122258194</v>
      </c>
      <c r="G464" s="306">
        <f t="shared" ca="1" si="214"/>
        <v>17.312908158250853</v>
      </c>
      <c r="H464" s="307">
        <f t="shared" ca="1" si="215"/>
        <v>-101.81692593712674</v>
      </c>
      <c r="I464" s="304">
        <f t="shared" ca="1" si="216"/>
        <v>103.27837719572467</v>
      </c>
      <c r="J464" s="306">
        <f t="shared" ca="1" si="217"/>
        <v>686.24374385514125</v>
      </c>
      <c r="K464" s="307">
        <f t="shared" ca="1" si="218"/>
        <v>575.33441462556516</v>
      </c>
      <c r="L464" s="304">
        <f t="shared" ca="1" si="203"/>
        <v>895.5111192122979</v>
      </c>
      <c r="M464" s="306">
        <f t="shared" ca="1" si="219"/>
        <v>-1.4023676936612295</v>
      </c>
      <c r="N464" s="304">
        <f t="shared" ca="1" si="220"/>
        <v>-80.349750172283578</v>
      </c>
      <c r="P464" s="310">
        <f t="shared" ca="1" si="221"/>
        <v>23</v>
      </c>
      <c r="Q464" s="304">
        <f t="shared" ca="1" si="222"/>
        <v>0</v>
      </c>
      <c r="R464" s="306">
        <f t="shared" ca="1" si="223"/>
        <v>0</v>
      </c>
      <c r="S464" s="307">
        <f t="shared" ca="1" si="224"/>
        <v>8.5499999999999989</v>
      </c>
      <c r="T464" s="304">
        <f t="shared" ca="1" si="204"/>
        <v>83.875499999999988</v>
      </c>
      <c r="U464" s="311">
        <f t="shared" ca="1" si="205"/>
        <v>0</v>
      </c>
      <c r="V464" s="306">
        <f t="shared" ca="1" si="206"/>
        <v>1.1564922767510077</v>
      </c>
      <c r="W464" s="304">
        <f t="shared" ca="1" si="207"/>
        <v>38.226823251058562</v>
      </c>
      <c r="Y464" s="314" t="str">
        <f t="shared" ca="1" si="225"/>
        <v/>
      </c>
      <c r="Z464" s="315" t="str">
        <f t="shared" ca="1" si="226"/>
        <v/>
      </c>
      <c r="AA464" s="316" t="str">
        <f t="shared" ca="1" si="227"/>
        <v/>
      </c>
      <c r="AC464" s="310">
        <f t="shared" ca="1" si="228"/>
        <v>28.000000000000131</v>
      </c>
      <c r="AD464" s="323">
        <f t="shared" ca="1" si="229"/>
        <v>686.24374385514125</v>
      </c>
      <c r="AE464" s="324" t="e">
        <f t="shared" ca="1" si="208"/>
        <v>#N/A</v>
      </c>
      <c r="AG464" s="306">
        <f t="shared" ca="1" si="230"/>
        <v>5.2473772808645958</v>
      </c>
      <c r="AH464" s="304">
        <f t="shared" ca="1" si="231"/>
        <v>-4.4211495842587833</v>
      </c>
    </row>
    <row r="465" spans="1:34" x14ac:dyDescent="0.3">
      <c r="A465" s="347">
        <f t="shared" ca="1" si="209"/>
        <v>0.1</v>
      </c>
      <c r="B465" s="304">
        <f t="shared" ca="1" si="210"/>
        <v>28.100000000000133</v>
      </c>
      <c r="D465" s="306">
        <f t="shared" ca="1" si="211"/>
        <v>-0.74948460009752571</v>
      </c>
      <c r="E465" s="307">
        <f t="shared" ca="1" si="212"/>
        <v>-5.4022934886719511</v>
      </c>
      <c r="F465" s="304">
        <f t="shared" ca="1" si="213"/>
        <v>5.4540353962484245</v>
      </c>
      <c r="G465" s="306">
        <f t="shared" ca="1" si="214"/>
        <v>17.237959698241099</v>
      </c>
      <c r="H465" s="307">
        <f t="shared" ca="1" si="215"/>
        <v>-102.35715528599394</v>
      </c>
      <c r="I465" s="304">
        <f t="shared" ca="1" si="216"/>
        <v>103.79852837492091</v>
      </c>
      <c r="J465" s="306">
        <f t="shared" ca="1" si="217"/>
        <v>687.97128724796585</v>
      </c>
      <c r="K465" s="307">
        <f t="shared" ca="1" si="218"/>
        <v>565.12571056440913</v>
      </c>
      <c r="L465" s="304">
        <f t="shared" ca="1" si="203"/>
        <v>890.32104367949853</v>
      </c>
      <c r="M465" s="306">
        <f t="shared" ca="1" si="219"/>
        <v>-1.4039519980041619</v>
      </c>
      <c r="N465" s="304">
        <f t="shared" ca="1" si="220"/>
        <v>-80.440524124597857</v>
      </c>
      <c r="P465" s="310">
        <f t="shared" ca="1" si="221"/>
        <v>23</v>
      </c>
      <c r="Q465" s="304">
        <f t="shared" ca="1" si="222"/>
        <v>0</v>
      </c>
      <c r="R465" s="306">
        <f t="shared" ca="1" si="223"/>
        <v>0</v>
      </c>
      <c r="S465" s="307">
        <f t="shared" ca="1" si="224"/>
        <v>8.5499999999999989</v>
      </c>
      <c r="T465" s="304">
        <f t="shared" ca="1" si="204"/>
        <v>83.875499999999988</v>
      </c>
      <c r="U465" s="311">
        <f t="shared" ca="1" si="205"/>
        <v>0</v>
      </c>
      <c r="V465" s="306">
        <f t="shared" ca="1" si="206"/>
        <v>1.1576744698588666</v>
      </c>
      <c r="W465" s="304">
        <f t="shared" ca="1" si="207"/>
        <v>38.652314943231815</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5.2002091101936365</v>
      </c>
      <c r="AH465" s="304">
        <f t="shared" ca="1" si="231"/>
        <v>-4.4709734796559726</v>
      </c>
    </row>
    <row r="466" spans="1:34" x14ac:dyDescent="0.3">
      <c r="A466" s="347">
        <f t="shared" ca="1" si="209"/>
        <v>0.1</v>
      </c>
      <c r="B466" s="304">
        <f t="shared" ca="1" si="210"/>
        <v>28.200000000000134</v>
      </c>
      <c r="D466" s="306">
        <f t="shared" ca="1" si="211"/>
        <v>-0.75076507189648178</v>
      </c>
      <c r="E466" s="307">
        <f t="shared" ca="1" si="212"/>
        <v>-5.3520375501139119</v>
      </c>
      <c r="F466" s="304">
        <f t="shared" ca="1" si="213"/>
        <v>5.4044383733195671</v>
      </c>
      <c r="G466" s="306">
        <f t="shared" ca="1" si="214"/>
        <v>17.162883191051449</v>
      </c>
      <c r="H466" s="307">
        <f t="shared" ca="1" si="215"/>
        <v>-102.89235904100534</v>
      </c>
      <c r="I466" s="304">
        <f t="shared" ca="1" si="216"/>
        <v>104.31395931730724</v>
      </c>
      <c r="J466" s="306">
        <f t="shared" ca="1" si="217"/>
        <v>689.69132939243048</v>
      </c>
      <c r="K466" s="307">
        <f t="shared" ca="1" si="218"/>
        <v>554.86323484805916</v>
      </c>
      <c r="L466" s="304">
        <f t="shared" ca="1" si="203"/>
        <v>885.1820938231582</v>
      </c>
      <c r="M466" s="306">
        <f t="shared" ca="1" si="219"/>
        <v>-1.4055137836212996</v>
      </c>
      <c r="N466" s="304">
        <f t="shared" ca="1" si="220"/>
        <v>-80.530007848964075</v>
      </c>
      <c r="P466" s="310">
        <f t="shared" ca="1" si="221"/>
        <v>23</v>
      </c>
      <c r="Q466" s="304">
        <f t="shared" ca="1" si="222"/>
        <v>0</v>
      </c>
      <c r="R466" s="306">
        <f t="shared" ca="1" si="223"/>
        <v>0</v>
      </c>
      <c r="S466" s="307">
        <f t="shared" ca="1" si="224"/>
        <v>8.5499999999999989</v>
      </c>
      <c r="T466" s="304">
        <f t="shared" ca="1" si="204"/>
        <v>83.875499999999988</v>
      </c>
      <c r="U466" s="311">
        <f t="shared" ca="1" si="205"/>
        <v>0</v>
      </c>
      <c r="V466" s="306">
        <f t="shared" ca="1" si="206"/>
        <v>1.1588640734386868</v>
      </c>
      <c r="W466" s="304">
        <f t="shared" ca="1" si="207"/>
        <v>39.077252382143442</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5.1530372244710456</v>
      </c>
      <c r="AH466" s="304">
        <f t="shared" ca="1" si="231"/>
        <v>-4.5207385898516748</v>
      </c>
    </row>
    <row r="467" spans="1:34" x14ac:dyDescent="0.3">
      <c r="A467" s="347">
        <f t="shared" ca="1" si="209"/>
        <v>0.1</v>
      </c>
      <c r="B467" s="304">
        <f t="shared" ca="1" si="210"/>
        <v>28.300000000000136</v>
      </c>
      <c r="D467" s="306">
        <f t="shared" ca="1" si="211"/>
        <v>-0.75197901660170618</v>
      </c>
      <c r="E467" s="307">
        <f t="shared" ca="1" si="212"/>
        <v>-5.3018474881990532</v>
      </c>
      <c r="F467" s="304">
        <f t="shared" ca="1" si="213"/>
        <v>5.3549098245938636</v>
      </c>
      <c r="G467" s="306">
        <f t="shared" ca="1" si="214"/>
        <v>17.087685289391278</v>
      </c>
      <c r="H467" s="307">
        <f t="shared" ca="1" si="215"/>
        <v>-103.42254378982524</v>
      </c>
      <c r="I467" s="304">
        <f t="shared" ca="1" si="216"/>
        <v>104.82467053374219</v>
      </c>
      <c r="J467" s="306">
        <f t="shared" ca="1" si="217"/>
        <v>691.40385781645261</v>
      </c>
      <c r="K467" s="307">
        <f t="shared" ca="1" si="218"/>
        <v>544.54748970651758</v>
      </c>
      <c r="L467" s="304">
        <f t="shared" ca="1" si="203"/>
        <v>880.09730322796884</v>
      </c>
      <c r="M467" s="306">
        <f t="shared" ca="1" si="219"/>
        <v>-1.4070535452402559</v>
      </c>
      <c r="N467" s="304">
        <f t="shared" ca="1" si="220"/>
        <v>-80.618229691186514</v>
      </c>
      <c r="P467" s="310">
        <f t="shared" ca="1" si="221"/>
        <v>23</v>
      </c>
      <c r="Q467" s="304">
        <f t="shared" ca="1" si="222"/>
        <v>0</v>
      </c>
      <c r="R467" s="306">
        <f t="shared" ca="1" si="223"/>
        <v>0</v>
      </c>
      <c r="S467" s="307">
        <f t="shared" ca="1" si="224"/>
        <v>8.5499999999999989</v>
      </c>
      <c r="T467" s="304">
        <f t="shared" ca="1" si="204"/>
        <v>83.875499999999988</v>
      </c>
      <c r="U467" s="311">
        <f t="shared" ca="1" si="205"/>
        <v>0</v>
      </c>
      <c r="V467" s="306">
        <f t="shared" ca="1" si="206"/>
        <v>1.1600610496313237</v>
      </c>
      <c r="W467" s="304">
        <f t="shared" ca="1" si="207"/>
        <v>39.501584669306126</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5.1058695384406132</v>
      </c>
      <c r="AH467" s="304">
        <f t="shared" ca="1" si="231"/>
        <v>-4.5704388751044966</v>
      </c>
    </row>
    <row r="468" spans="1:34" x14ac:dyDescent="0.3">
      <c r="A468" s="347">
        <f t="shared" ca="1" si="209"/>
        <v>0.1</v>
      </c>
      <c r="B468" s="304">
        <f t="shared" ca="1" si="210"/>
        <v>28.400000000000137</v>
      </c>
      <c r="D468" s="306">
        <f t="shared" ca="1" si="211"/>
        <v>-0.7531268558395201</v>
      </c>
      <c r="E468" s="307">
        <f t="shared" ca="1" si="212"/>
        <v>-5.2517292975477758</v>
      </c>
      <c r="F468" s="304">
        <f t="shared" ca="1" si="213"/>
        <v>5.3054557462774463</v>
      </c>
      <c r="G468" s="306">
        <f t="shared" ca="1" si="214"/>
        <v>17.012372603807325</v>
      </c>
      <c r="H468" s="307">
        <f t="shared" ca="1" si="215"/>
        <v>-103.94771671958001</v>
      </c>
      <c r="I468" s="304">
        <f t="shared" ca="1" si="216"/>
        <v>105.3306633076277</v>
      </c>
      <c r="J468" s="306">
        <f t="shared" ca="1" si="217"/>
        <v>693.10886071111258</v>
      </c>
      <c r="K468" s="307">
        <f t="shared" ca="1" si="218"/>
        <v>534.17897668104729</v>
      </c>
      <c r="L468" s="304">
        <f t="shared" ca="1" si="203"/>
        <v>875.06975260505226</v>
      </c>
      <c r="M468" s="306">
        <f t="shared" ca="1" si="219"/>
        <v>-1.4085717630646237</v>
      </c>
      <c r="N468" s="304">
        <f t="shared" ca="1" si="220"/>
        <v>-80.705217164904312</v>
      </c>
      <c r="P468" s="310">
        <f t="shared" ca="1" si="221"/>
        <v>23</v>
      </c>
      <c r="Q468" s="304">
        <f t="shared" ca="1" si="222"/>
        <v>0</v>
      </c>
      <c r="R468" s="306">
        <f t="shared" ca="1" si="223"/>
        <v>0</v>
      </c>
      <c r="S468" s="307">
        <f t="shared" ca="1" si="224"/>
        <v>8.5499999999999989</v>
      </c>
      <c r="T468" s="304">
        <f t="shared" ca="1" si="204"/>
        <v>83.875499999999988</v>
      </c>
      <c r="U468" s="311">
        <f t="shared" ca="1" si="205"/>
        <v>0</v>
      </c>
      <c r="V468" s="306">
        <f t="shared" ca="1" si="206"/>
        <v>1.1612653605798027</v>
      </c>
      <c r="W468" s="304">
        <f t="shared" ca="1" si="207"/>
        <v>39.925261653115186</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5.0587138109027139</v>
      </c>
      <c r="AH468" s="304">
        <f t="shared" ca="1" si="231"/>
        <v>-4.6200683823749857</v>
      </c>
    </row>
    <row r="469" spans="1:34" x14ac:dyDescent="0.3">
      <c r="A469" s="347">
        <f t="shared" ca="1" si="209"/>
        <v>0.1</v>
      </c>
      <c r="B469" s="304">
        <f t="shared" ca="1" si="210"/>
        <v>28.500000000000139</v>
      </c>
      <c r="D469" s="306">
        <f t="shared" ca="1" si="211"/>
        <v>-0.75420902195615858</v>
      </c>
      <c r="E469" s="307">
        <f t="shared" ca="1" si="212"/>
        <v>-5.2016888850585783</v>
      </c>
      <c r="F469" s="304">
        <f t="shared" ca="1" si="213"/>
        <v>5.2560820489925781</v>
      </c>
      <c r="G469" s="306">
        <f t="shared" ca="1" si="214"/>
        <v>16.936951701611708</v>
      </c>
      <c r="H469" s="307">
        <f t="shared" ca="1" si="215"/>
        <v>-104.46788560808588</v>
      </c>
      <c r="I469" s="304">
        <f t="shared" ca="1" si="216"/>
        <v>105.83193967969615</v>
      </c>
      <c r="J469" s="306">
        <f t="shared" ca="1" si="217"/>
        <v>694.80632692638358</v>
      </c>
      <c r="K469" s="307">
        <f t="shared" ca="1" si="218"/>
        <v>523.75819656466399</v>
      </c>
      <c r="L469" s="304">
        <f t="shared" ca="1" si="203"/>
        <v>870.10256889955326</v>
      </c>
      <c r="M469" s="306">
        <f t="shared" ca="1" si="219"/>
        <v>-1.4100689032949001</v>
      </c>
      <c r="N469" s="304">
        <f t="shared" ca="1" si="220"/>
        <v>-80.790996981438397</v>
      </c>
      <c r="P469" s="310">
        <f t="shared" ca="1" si="221"/>
        <v>23</v>
      </c>
      <c r="Q469" s="304">
        <f t="shared" ca="1" si="222"/>
        <v>0</v>
      </c>
      <c r="R469" s="306">
        <f t="shared" ca="1" si="223"/>
        <v>0</v>
      </c>
      <c r="S469" s="307">
        <f t="shared" ca="1" si="224"/>
        <v>8.5499999999999989</v>
      </c>
      <c r="T469" s="304">
        <f t="shared" ca="1" si="204"/>
        <v>83.875499999999988</v>
      </c>
      <c r="U469" s="311">
        <f t="shared" ca="1" si="205"/>
        <v>0</v>
      </c>
      <c r="V469" s="306">
        <f t="shared" ca="1" si="206"/>
        <v>1.1624769684336753</v>
      </c>
      <c r="W469" s="304">
        <f t="shared" ca="1" si="207"/>
        <v>40.348233934027995</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5.011577647081606</v>
      </c>
      <c r="AH469" s="304">
        <f t="shared" ca="1" si="231"/>
        <v>-4.6696212459783846</v>
      </c>
    </row>
    <row r="470" spans="1:34" x14ac:dyDescent="0.3">
      <c r="A470" s="347">
        <f t="shared" ca="1" si="209"/>
        <v>0.1</v>
      </c>
      <c r="B470" s="304">
        <f t="shared" ca="1" si="210"/>
        <v>28.60000000000014</v>
      </c>
      <c r="D470" s="306">
        <f t="shared" ca="1" si="211"/>
        <v>-0.75522595768593104</v>
      </c>
      <c r="E470" s="307">
        <f t="shared" ca="1" si="212"/>
        <v>-5.1517320692788431</v>
      </c>
      <c r="F470" s="304">
        <f t="shared" ca="1" si="213"/>
        <v>5.2067945571914684</v>
      </c>
      <c r="G470" s="306">
        <f t="shared" ca="1" si="214"/>
        <v>16.861429105843115</v>
      </c>
      <c r="H470" s="307">
        <f t="shared" ca="1" si="215"/>
        <v>-104.98305881501376</v>
      </c>
      <c r="I470" s="304">
        <f t="shared" ca="1" si="216"/>
        <v>106.32850243301658</v>
      </c>
      <c r="J470" s="306">
        <f t="shared" ca="1" si="217"/>
        <v>696.49624596675631</v>
      </c>
      <c r="K470" s="307">
        <f t="shared" ca="1" si="218"/>
        <v>513.28564934350902</v>
      </c>
      <c r="L470" s="304">
        <f t="shared" ca="1" si="203"/>
        <v>865.19892421787722</v>
      </c>
      <c r="M470" s="306">
        <f t="shared" ca="1" si="219"/>
        <v>-1.4115454186274741</v>
      </c>
      <c r="N470" s="304">
        <f t="shared" ca="1" si="220"/>
        <v>-80.875595078381238</v>
      </c>
      <c r="P470" s="310">
        <f t="shared" ca="1" si="221"/>
        <v>23</v>
      </c>
      <c r="Q470" s="304">
        <f t="shared" ca="1" si="222"/>
        <v>0</v>
      </c>
      <c r="R470" s="306">
        <f t="shared" ca="1" si="223"/>
        <v>0</v>
      </c>
      <c r="S470" s="307">
        <f t="shared" ca="1" si="224"/>
        <v>8.5499999999999989</v>
      </c>
      <c r="T470" s="304">
        <f t="shared" ca="1" si="204"/>
        <v>83.875499999999988</v>
      </c>
      <c r="U470" s="311">
        <f t="shared" ca="1" si="205"/>
        <v>0</v>
      </c>
      <c r="V470" s="306">
        <f t="shared" ca="1" si="206"/>
        <v>1.1636958353533267</v>
      </c>
      <c r="W470" s="304">
        <f t="shared" ca="1" si="207"/>
        <v>40.770452869345505</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4.9644685008886542</v>
      </c>
      <c r="AH470" s="304">
        <f t="shared" ca="1" si="231"/>
        <v>-4.7190916881904093</v>
      </c>
    </row>
    <row r="471" spans="1:34" x14ac:dyDescent="0.3">
      <c r="A471" s="347">
        <f t="shared" ca="1" si="209"/>
        <v>0.1</v>
      </c>
      <c r="B471" s="304">
        <f t="shared" ca="1" si="210"/>
        <v>28.700000000000141</v>
      </c>
      <c r="D471" s="306">
        <f t="shared" ca="1" si="211"/>
        <v>-0.75617811582245642</v>
      </c>
      <c r="E471" s="307">
        <f t="shared" ca="1" si="212"/>
        <v>-5.1018645798234852</v>
      </c>
      <c r="F471" s="304">
        <f t="shared" ca="1" si="213"/>
        <v>5.1575990086188623</v>
      </c>
      <c r="G471" s="306">
        <f t="shared" ca="1" si="214"/>
        <v>16.785811294260871</v>
      </c>
      <c r="H471" s="307">
        <f t="shared" ca="1" si="215"/>
        <v>-105.49324527299611</v>
      </c>
      <c r="I471" s="304">
        <f t="shared" ca="1" si="216"/>
        <v>106.82035507821088</v>
      </c>
      <c r="J471" s="306">
        <f t="shared" ca="1" si="217"/>
        <v>698.17860798676145</v>
      </c>
      <c r="K471" s="307">
        <f t="shared" ca="1" si="218"/>
        <v>502.76183413910854</v>
      </c>
      <c r="L471" s="304">
        <f t="shared" ca="1" si="203"/>
        <v>860.3620345629231</v>
      </c>
      <c r="M471" s="306">
        <f t="shared" ca="1" si="219"/>
        <v>-1.4130017487327331</v>
      </c>
      <c r="N471" s="304">
        <f t="shared" ca="1" si="220"/>
        <v>-80.959036646990427</v>
      </c>
      <c r="P471" s="310">
        <f t="shared" ca="1" si="221"/>
        <v>23</v>
      </c>
      <c r="Q471" s="304">
        <f t="shared" ca="1" si="222"/>
        <v>0</v>
      </c>
      <c r="R471" s="306">
        <f t="shared" ca="1" si="223"/>
        <v>0</v>
      </c>
      <c r="S471" s="307">
        <f t="shared" ca="1" si="224"/>
        <v>8.5499999999999989</v>
      </c>
      <c r="T471" s="304">
        <f t="shared" ca="1" si="204"/>
        <v>83.875499999999988</v>
      </c>
      <c r="U471" s="311">
        <f t="shared" ca="1" si="205"/>
        <v>0</v>
      </c>
      <c r="V471" s="306">
        <f t="shared" ca="1" si="206"/>
        <v>1.1649219235142356</v>
      </c>
      <c r="W471" s="304">
        <f t="shared" ca="1" si="207"/>
        <v>41.19187057760044</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4.9173936770895255</v>
      </c>
      <c r="AH471" s="304">
        <f t="shared" ca="1" si="231"/>
        <v>-4.7684740198064928</v>
      </c>
    </row>
    <row r="472" spans="1:34" x14ac:dyDescent="0.3">
      <c r="A472" s="347">
        <f t="shared" ca="1" si="209"/>
        <v>0.1</v>
      </c>
      <c r="B472" s="304">
        <f t="shared" ca="1" si="210"/>
        <v>28.800000000000143</v>
      </c>
      <c r="D472" s="306">
        <f t="shared" ca="1" si="211"/>
        <v>-0.75706595889298811</v>
      </c>
      <c r="E472" s="307">
        <f t="shared" ca="1" si="212"/>
        <v>-5.0520920568408751</v>
      </c>
      <c r="F472" s="304">
        <f t="shared" ca="1" si="213"/>
        <v>5.108501053822855</v>
      </c>
      <c r="G472" s="306">
        <f t="shared" ca="1" si="214"/>
        <v>16.710104698371573</v>
      </c>
      <c r="H472" s="307">
        <f t="shared" ca="1" si="215"/>
        <v>-105.99845447868019</v>
      </c>
      <c r="I472" s="304">
        <f t="shared" ca="1" si="216"/>
        <v>107.30750183887135</v>
      </c>
      <c r="J472" s="306">
        <f t="shared" ca="1" si="217"/>
        <v>699.85340378639307</v>
      </c>
      <c r="K472" s="307">
        <f t="shared" ca="1" si="218"/>
        <v>492.18724915152472</v>
      </c>
      <c r="L472" s="304">
        <f t="shared" ca="1" si="203"/>
        <v>855.59515836565208</v>
      </c>
      <c r="M472" s="306">
        <f t="shared" ca="1" si="219"/>
        <v>-1.4144383207132842</v>
      </c>
      <c r="N472" s="304">
        <f t="shared" ca="1" si="220"/>
        <v>-81.041346158442749</v>
      </c>
      <c r="P472" s="310">
        <f t="shared" ca="1" si="221"/>
        <v>23</v>
      </c>
      <c r="Q472" s="304">
        <f t="shared" ca="1" si="222"/>
        <v>0</v>
      </c>
      <c r="R472" s="306">
        <f t="shared" ca="1" si="223"/>
        <v>0</v>
      </c>
      <c r="S472" s="307">
        <f t="shared" ca="1" si="224"/>
        <v>8.5499999999999989</v>
      </c>
      <c r="T472" s="304">
        <f t="shared" ca="1" si="204"/>
        <v>83.875499999999988</v>
      </c>
      <c r="U472" s="311">
        <f t="shared" ca="1" si="205"/>
        <v>0</v>
      </c>
      <c r="V472" s="306">
        <f t="shared" ca="1" si="206"/>
        <v>1.1661551951111924</v>
      </c>
      <c r="W472" s="304">
        <f t="shared" ca="1" si="207"/>
        <v>41.612439942556847</v>
      </c>
      <c r="Y472" s="314" t="str">
        <f t="shared" ca="1" si="225"/>
        <v/>
      </c>
      <c r="Z472" s="315" t="str">
        <f t="shared" ca="1" si="226"/>
        <v/>
      </c>
      <c r="AA472" s="316" t="str">
        <f t="shared" ca="1" si="227"/>
        <v/>
      </c>
      <c r="AC472" s="310" t="e">
        <f t="shared" ca="1" si="228"/>
        <v>#N/A</v>
      </c>
      <c r="AD472" s="323" t="e">
        <f t="shared" ca="1" si="229"/>
        <v>#N/A</v>
      </c>
      <c r="AE472" s="324" t="e">
        <f t="shared" ca="1" si="208"/>
        <v>#N/A</v>
      </c>
      <c r="AG472" s="306">
        <f t="shared" ca="1" si="230"/>
        <v>4.8703603333827932</v>
      </c>
      <c r="AH472" s="304">
        <f t="shared" ca="1" si="231"/>
        <v>-4.8177626406550225</v>
      </c>
    </row>
    <row r="473" spans="1:34" x14ac:dyDescent="0.3">
      <c r="A473" s="347">
        <f t="shared" ca="1" si="209"/>
        <v>0.1</v>
      </c>
      <c r="B473" s="304">
        <f t="shared" ca="1" si="210"/>
        <v>28.900000000000144</v>
      </c>
      <c r="D473" s="306">
        <f t="shared" ca="1" si="211"/>
        <v>-0.7578899588358623</v>
      </c>
      <c r="E473" s="307">
        <f t="shared" ca="1" si="212"/>
        <v>-5.0024200505254326</v>
      </c>
      <c r="F473" s="304">
        <f t="shared" ca="1" si="213"/>
        <v>5.0595062557134067</v>
      </c>
      <c r="G473" s="306">
        <f t="shared" ca="1" si="214"/>
        <v>16.634315702487989</v>
      </c>
      <c r="H473" s="307">
        <f t="shared" ca="1" si="215"/>
        <v>-106.49869648373273</v>
      </c>
      <c r="I473" s="304">
        <f t="shared" ca="1" si="216"/>
        <v>107.78994763717192</v>
      </c>
      <c r="J473" s="306">
        <f t="shared" ca="1" si="217"/>
        <v>701.5206248064361</v>
      </c>
      <c r="K473" s="307">
        <f t="shared" ca="1" si="218"/>
        <v>481.56239160340408</v>
      </c>
      <c r="L473" s="304">
        <f t="shared" ca="1" si="203"/>
        <v>850.90159480142165</v>
      </c>
      <c r="M473" s="306">
        <f t="shared" ca="1" si="219"/>
        <v>-1.4158555495432377</v>
      </c>
      <c r="N473" s="304">
        <f t="shared" ca="1" si="220"/>
        <v>-81.122547389003344</v>
      </c>
      <c r="P473" s="310">
        <f t="shared" ca="1" si="221"/>
        <v>23</v>
      </c>
      <c r="Q473" s="304">
        <f t="shared" ca="1" si="222"/>
        <v>0</v>
      </c>
      <c r="R473" s="306">
        <f t="shared" ca="1" si="223"/>
        <v>0</v>
      </c>
      <c r="S473" s="307">
        <f t="shared" ca="1" si="224"/>
        <v>8.5499999999999989</v>
      </c>
      <c r="T473" s="304">
        <f t="shared" ca="1" si="204"/>
        <v>83.875499999999988</v>
      </c>
      <c r="U473" s="311">
        <f t="shared" ca="1" si="205"/>
        <v>0</v>
      </c>
      <c r="V473" s="306">
        <f t="shared" ca="1" si="206"/>
        <v>1.167395612362462</v>
      </c>
      <c r="W473" s="304">
        <f t="shared" ca="1" si="207"/>
        <v>42.032114616825183</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4.8233754823968331</v>
      </c>
      <c r="AH473" s="304">
        <f t="shared" ca="1" si="231"/>
        <v>-4.8669520400651285</v>
      </c>
    </row>
    <row r="474" spans="1:34" x14ac:dyDescent="0.3">
      <c r="A474" s="347">
        <f t="shared" ca="1" si="209"/>
        <v>0.1</v>
      </c>
      <c r="B474" s="304">
        <f t="shared" ca="1" si="210"/>
        <v>29.000000000000146</v>
      </c>
      <c r="D474" s="306">
        <f t="shared" ca="1" si="211"/>
        <v>-0.75865059668106649</v>
      </c>
      <c r="E474" s="307">
        <f t="shared" ca="1" si="212"/>
        <v>-4.9528540206763587</v>
      </c>
      <c r="F474" s="304">
        <f t="shared" ca="1" si="213"/>
        <v>5.0106200891680572</v>
      </c>
      <c r="G474" s="306">
        <f t="shared" ca="1" si="214"/>
        <v>16.558450642819881</v>
      </c>
      <c r="H474" s="307">
        <f t="shared" ca="1" si="215"/>
        <v>-106.99398188580037</v>
      </c>
      <c r="I474" s="304">
        <f t="shared" ca="1" si="216"/>
        <v>108.26769807966585</v>
      </c>
      <c r="J474" s="306">
        <f t="shared" ca="1" si="217"/>
        <v>703.18026312370148</v>
      </c>
      <c r="K474" s="307">
        <f t="shared" ca="1" si="218"/>
        <v>470.88775768492741</v>
      </c>
      <c r="L474" s="304">
        <f t="shared" ca="1" si="203"/>
        <v>846.28468187971885</v>
      </c>
      <c r="M474" s="306">
        <f t="shared" ca="1" si="219"/>
        <v>-1.4172538384894469</v>
      </c>
      <c r="N474" s="304">
        <f t="shared" ca="1" si="220"/>
        <v>-81.202663444160933</v>
      </c>
      <c r="P474" s="310">
        <f t="shared" ca="1" si="221"/>
        <v>23</v>
      </c>
      <c r="Q474" s="304">
        <f t="shared" ca="1" si="222"/>
        <v>0</v>
      </c>
      <c r="R474" s="306">
        <f t="shared" ca="1" si="223"/>
        <v>0</v>
      </c>
      <c r="S474" s="307">
        <f t="shared" ca="1" si="224"/>
        <v>8.5499999999999989</v>
      </c>
      <c r="T474" s="304">
        <f t="shared" ca="1" si="204"/>
        <v>83.875499999999988</v>
      </c>
      <c r="U474" s="311">
        <f t="shared" ca="1" si="205"/>
        <v>0</v>
      </c>
      <c r="V474" s="306">
        <f t="shared" ca="1" si="206"/>
        <v>1.1686431375139084</v>
      </c>
      <c r="W474" s="304">
        <f t="shared" ca="1" si="207"/>
        <v>42.450849025098329</v>
      </c>
      <c r="Y474" s="314" t="str">
        <f t="shared" ca="1" si="225"/>
        <v/>
      </c>
      <c r="Z474" s="315" t="str">
        <f t="shared" ca="1" si="226"/>
        <v/>
      </c>
      <c r="AA474" s="316" t="str">
        <f t="shared" ca="1" si="227"/>
        <v/>
      </c>
      <c r="AC474" s="310">
        <f t="shared" ca="1" si="228"/>
        <v>29.000000000000146</v>
      </c>
      <c r="AD474" s="323">
        <f t="shared" ca="1" si="229"/>
        <v>703.18026312370148</v>
      </c>
      <c r="AE474" s="324" t="e">
        <f t="shared" ca="1" si="208"/>
        <v>#N/A</v>
      </c>
      <c r="AG474" s="306">
        <f t="shared" ca="1" si="230"/>
        <v>4.7764459936115911</v>
      </c>
      <c r="AH474" s="304">
        <f t="shared" ca="1" si="231"/>
        <v>-4.9160367972894958</v>
      </c>
    </row>
    <row r="475" spans="1:34" x14ac:dyDescent="0.3">
      <c r="A475" s="347">
        <f t="shared" ca="1" si="209"/>
        <v>0.1</v>
      </c>
      <c r="B475" s="304">
        <f t="shared" ca="1" si="210"/>
        <v>29.100000000000147</v>
      </c>
      <c r="D475" s="306">
        <f t="shared" ca="1" si="211"/>
        <v>-0.75934836223396973</v>
      </c>
      <c r="E475" s="307">
        <f t="shared" ca="1" si="212"/>
        <v>-4.9033993363018231</v>
      </c>
      <c r="F475" s="304">
        <f t="shared" ca="1" si="213"/>
        <v>4.9618479406842537</v>
      </c>
      <c r="G475" s="306">
        <f t="shared" ca="1" si="214"/>
        <v>16.482515806596485</v>
      </c>
      <c r="H475" s="307">
        <f t="shared" ca="1" si="215"/>
        <v>-107.48432181943055</v>
      </c>
      <c r="I475" s="304">
        <f t="shared" ca="1" si="216"/>
        <v>108.74075944326312</v>
      </c>
      <c r="J475" s="306">
        <f t="shared" ca="1" si="217"/>
        <v>704.8323114461723</v>
      </c>
      <c r="K475" s="307">
        <f t="shared" ca="1" si="218"/>
        <v>460.16384249966586</v>
      </c>
      <c r="L475" s="304">
        <f t="shared" ca="1" si="203"/>
        <v>841.74779429625551</v>
      </c>
      <c r="M475" s="306">
        <f t="shared" ca="1" si="219"/>
        <v>-1.4186335795155529</v>
      </c>
      <c r="N475" s="304">
        <f t="shared" ca="1" si="220"/>
        <v>-81.28171678177786</v>
      </c>
      <c r="P475" s="310">
        <f t="shared" ca="1" si="221"/>
        <v>23</v>
      </c>
      <c r="Q475" s="304">
        <f t="shared" ca="1" si="222"/>
        <v>0</v>
      </c>
      <c r="R475" s="306">
        <f t="shared" ca="1" si="223"/>
        <v>0</v>
      </c>
      <c r="S475" s="307">
        <f t="shared" ca="1" si="224"/>
        <v>8.5499999999999989</v>
      </c>
      <c r="T475" s="304">
        <f t="shared" ca="1" si="204"/>
        <v>83.875499999999988</v>
      </c>
      <c r="U475" s="311">
        <f t="shared" ca="1" si="205"/>
        <v>0</v>
      </c>
      <c r="V475" s="306">
        <f t="shared" ca="1" si="206"/>
        <v>1.16989773284306</v>
      </c>
      <c r="W475" s="304">
        <f t="shared" ca="1" si="207"/>
        <v>42.868598367013121</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4.7295785952111</v>
      </c>
      <c r="AH475" s="304">
        <f t="shared" ca="1" si="231"/>
        <v>-4.9650115818828464</v>
      </c>
    </row>
    <row r="476" spans="1:34" x14ac:dyDescent="0.3">
      <c r="A476" s="347">
        <f t="shared" ca="1" si="209"/>
        <v>0.1</v>
      </c>
      <c r="B476" s="304">
        <f t="shared" ca="1" si="210"/>
        <v>29.200000000000149</v>
      </c>
      <c r="D476" s="306">
        <f t="shared" ca="1" si="211"/>
        <v>-0.75998375376222982</v>
      </c>
      <c r="E476" s="307">
        <f t="shared" ca="1" si="212"/>
        <v>-4.8540612752680241</v>
      </c>
      <c r="F476" s="304">
        <f t="shared" ca="1" si="213"/>
        <v>4.9131951080777529</v>
      </c>
      <c r="G476" s="306">
        <f t="shared" ca="1" si="214"/>
        <v>16.406517431220262</v>
      </c>
      <c r="H476" s="307">
        <f t="shared" ca="1" si="215"/>
        <v>-107.96972794695735</v>
      </c>
      <c r="I476" s="304">
        <f t="shared" ca="1" si="216"/>
        <v>109.2091386613818</v>
      </c>
      <c r="J476" s="306">
        <f t="shared" ca="1" si="217"/>
        <v>706.4767631080631</v>
      </c>
      <c r="K476" s="307">
        <f t="shared" ca="1" si="218"/>
        <v>449.39114001134647</v>
      </c>
      <c r="L476" s="304">
        <f t="shared" ca="1" si="203"/>
        <v>837.29434103685662</v>
      </c>
      <c r="M476" s="306">
        <f t="shared" ca="1" si="219"/>
        <v>-1.4199951536696349</v>
      </c>
      <c r="N476" s="304">
        <f t="shared" ca="1" si="220"/>
        <v>-81.359729234300858</v>
      </c>
      <c r="P476" s="310">
        <f t="shared" ca="1" si="221"/>
        <v>23</v>
      </c>
      <c r="Q476" s="304">
        <f t="shared" ca="1" si="222"/>
        <v>0</v>
      </c>
      <c r="R476" s="306">
        <f t="shared" ca="1" si="223"/>
        <v>0</v>
      </c>
      <c r="S476" s="307">
        <f t="shared" ca="1" si="224"/>
        <v>8.5499999999999989</v>
      </c>
      <c r="T476" s="304">
        <f t="shared" ca="1" si="204"/>
        <v>83.875499999999988</v>
      </c>
      <c r="U476" s="311">
        <f t="shared" ca="1" si="205"/>
        <v>0</v>
      </c>
      <c r="V476" s="306">
        <f t="shared" ca="1" si="206"/>
        <v>1.1711593606631368</v>
      </c>
      <c r="W476" s="304">
        <f t="shared" ca="1" si="207"/>
        <v>43.285318619643114</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4.682779875872467</v>
      </c>
      <c r="AH476" s="304">
        <f t="shared" ca="1" si="231"/>
        <v>-5.0138711540366225</v>
      </c>
    </row>
    <row r="477" spans="1:34" x14ac:dyDescent="0.3">
      <c r="A477" s="347">
        <f t="shared" ca="1" si="209"/>
        <v>0.1</v>
      </c>
      <c r="B477" s="304">
        <f t="shared" ca="1" si="210"/>
        <v>29.30000000000015</v>
      </c>
      <c r="D477" s="306">
        <f t="shared" ca="1" si="211"/>
        <v>-0.76055727768592152</v>
      </c>
      <c r="E477" s="307">
        <f t="shared" ca="1" si="212"/>
        <v>-4.8048450239924039</v>
      </c>
      <c r="F477" s="304">
        <f t="shared" ca="1" si="213"/>
        <v>4.8646668002264635</v>
      </c>
      <c r="G477" s="306">
        <f t="shared" ca="1" si="214"/>
        <v>16.330461703451672</v>
      </c>
      <c r="H477" s="307">
        <f t="shared" ca="1" si="215"/>
        <v>-108.45021244935658</v>
      </c>
      <c r="I477" s="304">
        <f t="shared" ca="1" si="216"/>
        <v>109.67284331026747</v>
      </c>
      <c r="J477" s="306">
        <f t="shared" ca="1" si="217"/>
        <v>708.11361206479671</v>
      </c>
      <c r="K477" s="307">
        <f t="shared" ca="1" si="218"/>
        <v>438.57014299153076</v>
      </c>
      <c r="L477" s="304">
        <f t="shared" ca="1" si="203"/>
        <v>832.92776272319384</v>
      </c>
      <c r="M477" s="306">
        <f t="shared" ca="1" si="219"/>
        <v>-1.4213389314562304</v>
      </c>
      <c r="N477" s="304">
        <f t="shared" ca="1" si="220"/>
        <v>-81.436722030076197</v>
      </c>
      <c r="P477" s="310">
        <f t="shared" ca="1" si="221"/>
        <v>23</v>
      </c>
      <c r="Q477" s="304">
        <f t="shared" ca="1" si="222"/>
        <v>0</v>
      </c>
      <c r="R477" s="306">
        <f t="shared" ca="1" si="223"/>
        <v>0</v>
      </c>
      <c r="S477" s="307">
        <f t="shared" ca="1" si="224"/>
        <v>8.5499999999999989</v>
      </c>
      <c r="T477" s="304">
        <f t="shared" ca="1" si="204"/>
        <v>83.875499999999988</v>
      </c>
      <c r="U477" s="311">
        <f t="shared" ca="1" si="205"/>
        <v>0</v>
      </c>
      <c r="V477" s="306">
        <f t="shared" ca="1" si="206"/>
        <v>1.1724279833270186</v>
      </c>
      <c r="W477" s="304">
        <f t="shared" ca="1" si="207"/>
        <v>43.700966539627188</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4.6360562864963999</v>
      </c>
      <c r="AH477" s="304">
        <f t="shared" ca="1" si="231"/>
        <v>-5.0626103648705403</v>
      </c>
    </row>
    <row r="478" spans="1:34" x14ac:dyDescent="0.3">
      <c r="A478" s="347">
        <f t="shared" ca="1" si="209"/>
        <v>0.1</v>
      </c>
      <c r="B478" s="304">
        <f t="shared" ca="1" si="210"/>
        <v>29.400000000000151</v>
      </c>
      <c r="D478" s="306">
        <f t="shared" ca="1" si="211"/>
        <v>-0.76106944827088929</v>
      </c>
      <c r="E478" s="307">
        <f t="shared" ca="1" si="212"/>
        <v>-4.7557556771804554</v>
      </c>
      <c r="F478" s="304">
        <f t="shared" ca="1" si="213"/>
        <v>4.8162681368592306</v>
      </c>
      <c r="G478" s="306">
        <f t="shared" ca="1" si="214"/>
        <v>16.254354758624583</v>
      </c>
      <c r="H478" s="307">
        <f t="shared" ca="1" si="215"/>
        <v>-108.92578801707462</v>
      </c>
      <c r="I478" s="304">
        <f t="shared" ca="1" si="216"/>
        <v>110.13188159547579</v>
      </c>
      <c r="J478" s="306">
        <f t="shared" ca="1" si="217"/>
        <v>709.74285288790054</v>
      </c>
      <c r="K478" s="307">
        <f t="shared" ca="1" si="218"/>
        <v>427.70134296820919</v>
      </c>
      <c r="L478" s="304">
        <f t="shared" ca="1" si="203"/>
        <v>828.65152869120186</v>
      </c>
      <c r="M478" s="306">
        <f t="shared" ca="1" si="219"/>
        <v>-1.4226652731934435</v>
      </c>
      <c r="N478" s="304">
        <f t="shared" ca="1" si="220"/>
        <v>-81.512715813810559</v>
      </c>
      <c r="P478" s="310">
        <f t="shared" ca="1" si="221"/>
        <v>23</v>
      </c>
      <c r="Q478" s="304">
        <f t="shared" ca="1" si="222"/>
        <v>0</v>
      </c>
      <c r="R478" s="306">
        <f t="shared" ca="1" si="223"/>
        <v>0</v>
      </c>
      <c r="S478" s="307">
        <f t="shared" ca="1" si="224"/>
        <v>8.5499999999999989</v>
      </c>
      <c r="T478" s="304">
        <f t="shared" ca="1" si="204"/>
        <v>83.875499999999988</v>
      </c>
      <c r="U478" s="311">
        <f t="shared" ca="1" si="205"/>
        <v>0</v>
      </c>
      <c r="V478" s="306">
        <f t="shared" ca="1" si="206"/>
        <v>1.1737035632311703</v>
      </c>
      <c r="W478" s="304">
        <f t="shared" ca="1" si="207"/>
        <v>44.115499664940252</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4.589414141884272</v>
      </c>
      <c r="AH478" s="304">
        <f t="shared" ca="1" si="231"/>
        <v>-5.1112241566815433</v>
      </c>
    </row>
    <row r="479" spans="1:34" x14ac:dyDescent="0.3">
      <c r="A479" s="347">
        <f t="shared" ca="1" si="209"/>
        <v>0.1</v>
      </c>
      <c r="B479" s="304">
        <f t="shared" ca="1" si="210"/>
        <v>29.500000000000153</v>
      </c>
      <c r="D479" s="306">
        <f t="shared" ca="1" si="211"/>
        <v>-0.76152078732538842</v>
      </c>
      <c r="E479" s="307">
        <f t="shared" ca="1" si="212"/>
        <v>-4.7067982376053372</v>
      </c>
      <c r="F479" s="304">
        <f t="shared" ca="1" si="213"/>
        <v>4.7680041483888616</v>
      </c>
      <c r="G479" s="306">
        <f t="shared" ca="1" si="214"/>
        <v>16.178202679892046</v>
      </c>
      <c r="H479" s="307">
        <f t="shared" ca="1" si="215"/>
        <v>-109.39646784083516</v>
      </c>
      <c r="I479" s="304">
        <f t="shared" ca="1" si="216"/>
        <v>110.58626233851358</v>
      </c>
      <c r="J479" s="306">
        <f t="shared" ca="1" si="217"/>
        <v>711.36448075982639</v>
      </c>
      <c r="K479" s="307">
        <f t="shared" ca="1" si="218"/>
        <v>416.7852301753137</v>
      </c>
      <c r="L479" s="304">
        <f t="shared" ca="1" si="203"/>
        <v>824.46913379397449</v>
      </c>
      <c r="M479" s="306">
        <f t="shared" ca="1" si="219"/>
        <v>-1.423974529355829</v>
      </c>
      <c r="N479" s="304">
        <f t="shared" ca="1" si="220"/>
        <v>-81.587730666216757</v>
      </c>
      <c r="P479" s="310">
        <f t="shared" ca="1" si="221"/>
        <v>23</v>
      </c>
      <c r="Q479" s="304">
        <f t="shared" ca="1" si="222"/>
        <v>0</v>
      </c>
      <c r="R479" s="306">
        <f t="shared" ca="1" si="223"/>
        <v>0</v>
      </c>
      <c r="S479" s="307">
        <f t="shared" ca="1" si="224"/>
        <v>8.5499999999999989</v>
      </c>
      <c r="T479" s="304">
        <f t="shared" ca="1" si="204"/>
        <v>83.875499999999988</v>
      </c>
      <c r="U479" s="311">
        <f t="shared" ca="1" si="205"/>
        <v>0</v>
      </c>
      <c r="V479" s="306">
        <f t="shared" ca="1" si="206"/>
        <v>1.1749860628195112</v>
      </c>
      <c r="W479" s="304">
        <f t="shared" ca="1" si="207"/>
        <v>44.528876316311035</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4.5428596223660476</v>
      </c>
      <c r="AH479" s="304">
        <f t="shared" ca="1" si="231"/>
        <v>-5.1597075631509073</v>
      </c>
    </row>
    <row r="480" spans="1:34" x14ac:dyDescent="0.3">
      <c r="A480" s="347">
        <f t="shared" ca="1" si="209"/>
        <v>0.1</v>
      </c>
      <c r="B480" s="304">
        <f t="shared" ca="1" si="210"/>
        <v>29.600000000000154</v>
      </c>
      <c r="D480" s="306">
        <f t="shared" ca="1" si="211"/>
        <v>-0.76191182390001833</v>
      </c>
      <c r="E480" s="307">
        <f t="shared" ca="1" si="212"/>
        <v>-4.6579776159296715</v>
      </c>
      <c r="F480" s="304">
        <f t="shared" ca="1" si="213"/>
        <v>4.7198797757888409</v>
      </c>
      <c r="G480" s="306">
        <f t="shared" ca="1" si="214"/>
        <v>16.102011497502044</v>
      </c>
      <c r="H480" s="307">
        <f t="shared" ca="1" si="215"/>
        <v>-109.86226560242812</v>
      </c>
      <c r="I480" s="304">
        <f t="shared" ca="1" si="216"/>
        <v>111.03599496363398</v>
      </c>
      <c r="J480" s="306">
        <f t="shared" ca="1" si="217"/>
        <v>712.97849146869612</v>
      </c>
      <c r="K480" s="307">
        <f t="shared" ca="1" si="218"/>
        <v>405.82229350315055</v>
      </c>
      <c r="L480" s="304">
        <f t="shared" ca="1" si="203"/>
        <v>820.38409492208882</v>
      </c>
      <c r="M480" s="306">
        <f t="shared" ca="1" si="219"/>
        <v>-1.425267040903698</v>
      </c>
      <c r="N480" s="304">
        <f t="shared" ca="1" si="220"/>
        <v>-81.661786122881566</v>
      </c>
      <c r="P480" s="310">
        <f t="shared" ca="1" si="221"/>
        <v>23</v>
      </c>
      <c r="Q480" s="304">
        <f t="shared" ca="1" si="222"/>
        <v>0</v>
      </c>
      <c r="R480" s="306">
        <f t="shared" ca="1" si="223"/>
        <v>0</v>
      </c>
      <c r="S480" s="307">
        <f t="shared" ca="1" si="224"/>
        <v>8.5499999999999989</v>
      </c>
      <c r="T480" s="304">
        <f t="shared" ca="1" si="204"/>
        <v>83.875499999999988</v>
      </c>
      <c r="U480" s="311">
        <f t="shared" ca="1" si="205"/>
        <v>0</v>
      </c>
      <c r="V480" s="306">
        <f t="shared" ca="1" si="206"/>
        <v>1.1762754445872403</v>
      </c>
      <c r="W480" s="304">
        <f t="shared" ca="1" si="207"/>
        <v>44.941055598293126</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4.4963987753833976</v>
      </c>
      <c r="AH480" s="304">
        <f t="shared" ca="1" si="231"/>
        <v>-5.208055709510063</v>
      </c>
    </row>
    <row r="481" spans="1:34" x14ac:dyDescent="0.3">
      <c r="A481" s="347">
        <f t="shared" ca="1" si="209"/>
        <v>0.1</v>
      </c>
      <c r="B481" s="304">
        <f t="shared" ca="1" si="210"/>
        <v>29.700000000000156</v>
      </c>
      <c r="D481" s="306">
        <f t="shared" ca="1" si="211"/>
        <v>-0.76224309399100199</v>
      </c>
      <c r="E481" s="307">
        <f t="shared" ca="1" si="212"/>
        <v>-4.6092986305687873</v>
      </c>
      <c r="F481" s="304">
        <f t="shared" ca="1" si="213"/>
        <v>4.6718998705130952</v>
      </c>
      <c r="G481" s="306">
        <f t="shared" ca="1" si="214"/>
        <v>16.025787188102942</v>
      </c>
      <c r="H481" s="307">
        <f t="shared" ca="1" si="215"/>
        <v>-110.323195465485</v>
      </c>
      <c r="I481" s="304">
        <f t="shared" ca="1" si="216"/>
        <v>111.48108948478202</v>
      </c>
      <c r="J481" s="306">
        <f t="shared" ca="1" si="217"/>
        <v>714.58488140297641</v>
      </c>
      <c r="K481" s="307">
        <f t="shared" ca="1" si="218"/>
        <v>394.8130204497549</v>
      </c>
      <c r="L481" s="304">
        <f t="shared" ca="1" si="203"/>
        <v>816.3999472356453</v>
      </c>
      <c r="M481" s="306">
        <f t="shared" ca="1" si="219"/>
        <v>-1.426543139599463</v>
      </c>
      <c r="N481" s="304">
        <f t="shared" ca="1" si="220"/>
        <v>-81.73490119239105</v>
      </c>
      <c r="P481" s="310">
        <f t="shared" ca="1" si="221"/>
        <v>23</v>
      </c>
      <c r="Q481" s="304">
        <f t="shared" ca="1" si="222"/>
        <v>0</v>
      </c>
      <c r="R481" s="306">
        <f t="shared" ca="1" si="223"/>
        <v>0</v>
      </c>
      <c r="S481" s="307">
        <f t="shared" ca="1" si="224"/>
        <v>8.5499999999999989</v>
      </c>
      <c r="T481" s="304">
        <f t="shared" ca="1" si="204"/>
        <v>83.875499999999988</v>
      </c>
      <c r="U481" s="311">
        <f t="shared" ca="1" si="205"/>
        <v>0</v>
      </c>
      <c r="V481" s="306">
        <f t="shared" ca="1" si="206"/>
        <v>1.1775716710846038</v>
      </c>
      <c r="W481" s="304">
        <f t="shared" ca="1" si="207"/>
        <v>45.351997399994836</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4.4500375170317676</v>
      </c>
      <c r="AH481" s="304">
        <f t="shared" ca="1" si="231"/>
        <v>-5.2562638126658632</v>
      </c>
    </row>
    <row r="482" spans="1:34" x14ac:dyDescent="0.3">
      <c r="A482" s="347">
        <f t="shared" ca="1" si="209"/>
        <v>0.1</v>
      </c>
      <c r="B482" s="304">
        <f t="shared" ca="1" si="210"/>
        <v>29.800000000000157</v>
      </c>
      <c r="D482" s="306">
        <f t="shared" ca="1" si="211"/>
        <v>-0.76251514024683487</v>
      </c>
      <c r="E482" s="307">
        <f t="shared" ca="1" si="212"/>
        <v>-4.5607660075947027</v>
      </c>
      <c r="F482" s="304">
        <f t="shared" ca="1" si="213"/>
        <v>4.6240691944581638</v>
      </c>
      <c r="G482" s="306">
        <f t="shared" ca="1" si="214"/>
        <v>15.949535674078259</v>
      </c>
      <c r="H482" s="307">
        <f t="shared" ca="1" si="215"/>
        <v>-110.77927206624447</v>
      </c>
      <c r="I482" s="304">
        <f t="shared" ca="1" si="216"/>
        <v>111.9215564926869</v>
      </c>
      <c r="J482" s="306">
        <f t="shared" ca="1" si="217"/>
        <v>716.18364754608547</v>
      </c>
      <c r="K482" s="307">
        <f t="shared" ca="1" si="218"/>
        <v>383.75789707316841</v>
      </c>
      <c r="L482" s="304">
        <f t="shared" ca="1" si="203"/>
        <v>812.52024010386106</v>
      </c>
      <c r="M482" s="306">
        <f t="shared" ca="1" si="219"/>
        <v>-1.4278031483116058</v>
      </c>
      <c r="N482" s="304">
        <f t="shared" ca="1" si="220"/>
        <v>-81.807094373746551</v>
      </c>
      <c r="P482" s="310">
        <f t="shared" ca="1" si="221"/>
        <v>23</v>
      </c>
      <c r="Q482" s="304">
        <f t="shared" ca="1" si="222"/>
        <v>0</v>
      </c>
      <c r="R482" s="306">
        <f t="shared" ca="1" si="223"/>
        <v>0</v>
      </c>
      <c r="S482" s="307">
        <f t="shared" ca="1" si="224"/>
        <v>8.5499999999999989</v>
      </c>
      <c r="T482" s="304">
        <f t="shared" ca="1" si="204"/>
        <v>83.875499999999988</v>
      </c>
      <c r="U482" s="311">
        <f t="shared" ca="1" si="205"/>
        <v>0</v>
      </c>
      <c r="V482" s="306">
        <f t="shared" ca="1" si="206"/>
        <v>1.1788747049206139</v>
      </c>
      <c r="W482" s="304">
        <f t="shared" ca="1" si="207"/>
        <v>45.761662395473969</v>
      </c>
      <c r="Y482" s="314" t="str">
        <f t="shared" ca="1" si="225"/>
        <v/>
      </c>
      <c r="Z482" s="315" t="str">
        <f t="shared" ca="1" si="226"/>
        <v/>
      </c>
      <c r="AA482" s="316" t="str">
        <f t="shared" ca="1" si="227"/>
        <v/>
      </c>
      <c r="AC482" s="310" t="e">
        <f t="shared" ca="1" si="228"/>
        <v>#N/A</v>
      </c>
      <c r="AD482" s="323" t="e">
        <f t="shared" ca="1" si="229"/>
        <v>#N/A</v>
      </c>
      <c r="AE482" s="324" t="e">
        <f t="shared" ca="1" si="208"/>
        <v>#N/A</v>
      </c>
      <c r="AG482" s="306">
        <f t="shared" ca="1" si="230"/>
        <v>4.4037816335650772</v>
      </c>
      <c r="AH482" s="304">
        <f t="shared" ca="1" si="231"/>
        <v>-5.304327181285946</v>
      </c>
    </row>
    <row r="483" spans="1:34" x14ac:dyDescent="0.3">
      <c r="A483" s="347">
        <f t="shared" ca="1" si="209"/>
        <v>0.1</v>
      </c>
      <c r="B483" s="304">
        <f t="shared" ca="1" si="210"/>
        <v>29.900000000000158</v>
      </c>
      <c r="D483" s="306">
        <f t="shared" ca="1" si="211"/>
        <v>-0.76272851167833999</v>
      </c>
      <c r="E483" s="307">
        <f t="shared" ca="1" si="212"/>
        <v>-4.512384380680122</v>
      </c>
      <c r="F483" s="304">
        <f t="shared" ca="1" si="213"/>
        <v>4.5763924199671715</v>
      </c>
      <c r="G483" s="306">
        <f t="shared" ca="1" si="214"/>
        <v>15.873262822910425</v>
      </c>
      <c r="H483" s="307">
        <f t="shared" ca="1" si="215"/>
        <v>-111.23051050431249</v>
      </c>
      <c r="I483" s="304">
        <f t="shared" ca="1" si="216"/>
        <v>112.35740714209794</v>
      </c>
      <c r="J483" s="306">
        <f t="shared" ca="1" si="217"/>
        <v>717.77478747093494</v>
      </c>
      <c r="K483" s="307">
        <f t="shared" ca="1" si="218"/>
        <v>372.65740794464057</v>
      </c>
      <c r="L483" s="304">
        <f t="shared" ca="1" si="203"/>
        <v>808.74853274980603</v>
      </c>
      <c r="M483" s="306">
        <f t="shared" ca="1" si="219"/>
        <v>-1.4290473813068247</v>
      </c>
      <c r="N483" s="304">
        <f t="shared" ca="1" si="220"/>
        <v>-81.878383673103514</v>
      </c>
      <c r="P483" s="310">
        <f t="shared" ca="1" si="221"/>
        <v>23</v>
      </c>
      <c r="Q483" s="304">
        <f t="shared" ca="1" si="222"/>
        <v>0</v>
      </c>
      <c r="R483" s="306">
        <f t="shared" ca="1" si="223"/>
        <v>0</v>
      </c>
      <c r="S483" s="307">
        <f t="shared" ca="1" si="224"/>
        <v>8.5499999999999989</v>
      </c>
      <c r="T483" s="304">
        <f t="shared" ca="1" si="204"/>
        <v>83.875499999999988</v>
      </c>
      <c r="U483" s="311">
        <f t="shared" ca="1" si="205"/>
        <v>0</v>
      </c>
      <c r="V483" s="306">
        <f t="shared" ca="1" si="206"/>
        <v>1.1801845087667198</v>
      </c>
      <c r="W483" s="304">
        <f t="shared" ca="1" si="207"/>
        <v>46.170012043803823</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4.3576367828663347</v>
      </c>
      <c r="AH483" s="304">
        <f t="shared" ca="1" si="231"/>
        <v>-5.3522412158449093</v>
      </c>
    </row>
    <row r="484" spans="1:34" x14ac:dyDescent="0.3">
      <c r="A484" s="347">
        <f t="shared" ca="1" si="209"/>
        <v>0.1</v>
      </c>
      <c r="B484" s="304">
        <f t="shared" ca="1" si="210"/>
        <v>30.00000000000016</v>
      </c>
      <c r="D484" s="306">
        <f t="shared" ca="1" si="211"/>
        <v>-0.76288376337216923</v>
      </c>
      <c r="E484" s="307">
        <f t="shared" ca="1" si="212"/>
        <v>-4.4641582910816577</v>
      </c>
      <c r="F484" s="304">
        <f t="shared" ca="1" si="213"/>
        <v>4.5288741298748842</v>
      </c>
      <c r="G484" s="306">
        <f t="shared" ca="1" si="214"/>
        <v>15.796974446573207</v>
      </c>
      <c r="H484" s="307">
        <f t="shared" ca="1" si="215"/>
        <v>-111.67692633342065</v>
      </c>
      <c r="I484" s="304">
        <f t="shared" ca="1" si="216"/>
        <v>112.7886531391609</v>
      </c>
      <c r="J484" s="306">
        <f t="shared" ca="1" si="217"/>
        <v>719.35829933440914</v>
      </c>
      <c r="K484" s="307">
        <f t="shared" ca="1" si="218"/>
        <v>361.51203610275388</v>
      </c>
      <c r="L484" s="304">
        <f t="shared" ca="1" si="203"/>
        <v>805.08838959983279</v>
      </c>
      <c r="M484" s="306">
        <f t="shared" ca="1" si="219"/>
        <v>-1.4302761445308869</v>
      </c>
      <c r="N484" s="304">
        <f t="shared" ca="1" si="220"/>
        <v>-81.948786619863156</v>
      </c>
      <c r="P484" s="310">
        <f t="shared" ca="1" si="221"/>
        <v>23</v>
      </c>
      <c r="Q484" s="304">
        <f t="shared" ca="1" si="222"/>
        <v>0</v>
      </c>
      <c r="R484" s="306">
        <f t="shared" ca="1" si="223"/>
        <v>0</v>
      </c>
      <c r="S484" s="307">
        <f t="shared" ca="1" si="224"/>
        <v>8.5499999999999989</v>
      </c>
      <c r="T484" s="304">
        <f t="shared" ca="1" si="204"/>
        <v>83.875499999999988</v>
      </c>
      <c r="U484" s="311">
        <f t="shared" ca="1" si="205"/>
        <v>0</v>
      </c>
      <c r="V484" s="306">
        <f t="shared" ca="1" si="206"/>
        <v>1.1815010453604176</v>
      </c>
      <c r="W484" s="304">
        <f t="shared" ca="1" si="207"/>
        <v>46.577008588815794</v>
      </c>
      <c r="Y484" s="314" t="str">
        <f t="shared" ca="1" si="225"/>
        <v/>
      </c>
      <c r="Z484" s="315" t="str">
        <f t="shared" ca="1" si="226"/>
        <v/>
      </c>
      <c r="AA484" s="316" t="str">
        <f t="shared" ca="1" si="227"/>
        <v/>
      </c>
      <c r="AC484" s="310">
        <f t="shared" ca="1" si="228"/>
        <v>30.00000000000016</v>
      </c>
      <c r="AD484" s="323">
        <f t="shared" ca="1" si="229"/>
        <v>719.35829933440914</v>
      </c>
      <c r="AE484" s="324" t="e">
        <f t="shared" ca="1" si="208"/>
        <v>#N/A</v>
      </c>
      <c r="AG484" s="306">
        <f t="shared" ca="1" si="230"/>
        <v>4.3116084958872696</v>
      </c>
      <c r="AH484" s="304">
        <f t="shared" ca="1" si="231"/>
        <v>-5.4000014086320265</v>
      </c>
    </row>
    <row r="485" spans="1:34" x14ac:dyDescent="0.3">
      <c r="A485" s="347">
        <f t="shared" ca="1" si="209"/>
        <v>0.1</v>
      </c>
      <c r="B485" s="304">
        <f t="shared" ca="1" si="210"/>
        <v>30.100000000000161</v>
      </c>
      <c r="D485" s="306">
        <f t="shared" ca="1" si="211"/>
        <v>-0.76298145620776681</v>
      </c>
      <c r="E485" s="307">
        <f t="shared" ca="1" si="212"/>
        <v>-4.4160921876616319</v>
      </c>
      <c r="F485" s="304">
        <f t="shared" ca="1" si="213"/>
        <v>4.4815188175933187</v>
      </c>
      <c r="G485" s="306">
        <f t="shared" ca="1" si="214"/>
        <v>15.72067630095243</v>
      </c>
      <c r="H485" s="307">
        <f t="shared" ca="1" si="215"/>
        <v>-112.11853555218681</v>
      </c>
      <c r="I485" s="304">
        <f t="shared" ca="1" si="216"/>
        <v>113.21530672893266</v>
      </c>
      <c r="J485" s="306">
        <f t="shared" ca="1" si="217"/>
        <v>720.93418187178543</v>
      </c>
      <c r="K485" s="307">
        <f t="shared" ca="1" si="218"/>
        <v>350.3222630084735</v>
      </c>
      <c r="L485" s="304">
        <f t="shared" ca="1" si="203"/>
        <v>801.54337533942521</v>
      </c>
      <c r="M485" s="306">
        <f t="shared" ca="1" si="219"/>
        <v>-1.4314897358786851</v>
      </c>
      <c r="N485" s="304">
        <f t="shared" ca="1" si="220"/>
        <v>-82.018320282145595</v>
      </c>
      <c r="P485" s="310">
        <f t="shared" ca="1" si="221"/>
        <v>23</v>
      </c>
      <c r="Q485" s="304">
        <f t="shared" ca="1" si="222"/>
        <v>0</v>
      </c>
      <c r="R485" s="306">
        <f t="shared" ca="1" si="223"/>
        <v>0</v>
      </c>
      <c r="S485" s="307">
        <f t="shared" ca="1" si="224"/>
        <v>8.5499999999999989</v>
      </c>
      <c r="T485" s="304">
        <f t="shared" ca="1" si="204"/>
        <v>83.875499999999988</v>
      </c>
      <c r="U485" s="311">
        <f t="shared" ca="1" si="205"/>
        <v>0</v>
      </c>
      <c r="V485" s="306">
        <f t="shared" ca="1" si="206"/>
        <v>1.1828242775088182</v>
      </c>
      <c r="W485" s="304">
        <f t="shared" ca="1" si="207"/>
        <v>46.982615058526008</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4.2657021780598816</v>
      </c>
      <c r="AH485" s="304">
        <f t="shared" ca="1" si="231"/>
        <v>-5.4476033437211457</v>
      </c>
    </row>
    <row r="486" spans="1:34" x14ac:dyDescent="0.3">
      <c r="A486" s="347">
        <f t="shared" ca="1" si="209"/>
        <v>0.1</v>
      </c>
      <c r="B486" s="304">
        <f t="shared" ca="1" si="210"/>
        <v>30.200000000000163</v>
      </c>
      <c r="D486" s="306">
        <f t="shared" ca="1" si="211"/>
        <v>-0.76302215657786421</v>
      </c>
      <c r="E486" s="307">
        <f t="shared" ca="1" si="212"/>
        <v>-4.3681904269475629</v>
      </c>
      <c r="F486" s="304">
        <f t="shared" ca="1" si="213"/>
        <v>4.4343308872371114</v>
      </c>
      <c r="G486" s="306">
        <f t="shared" ca="1" si="214"/>
        <v>15.644374085294643</v>
      </c>
      <c r="H486" s="307">
        <f t="shared" ca="1" si="215"/>
        <v>-112.55535459488156</v>
      </c>
      <c r="I486" s="304">
        <f t="shared" ca="1" si="216"/>
        <v>113.63738068303127</v>
      </c>
      <c r="J486" s="306">
        <f t="shared" ca="1" si="217"/>
        <v>722.50243439109784</v>
      </c>
      <c r="K486" s="307">
        <f t="shared" ca="1" si="218"/>
        <v>339.08856850112011</v>
      </c>
      <c r="L486" s="304">
        <f t="shared" ca="1" si="203"/>
        <v>798.11704967955757</v>
      </c>
      <c r="M486" s="306">
        <f t="shared" ca="1" si="219"/>
        <v>-1.432688445453979</v>
      </c>
      <c r="N486" s="304">
        <f t="shared" ca="1" si="220"/>
        <v>-82.087001281671846</v>
      </c>
      <c r="P486" s="310">
        <f t="shared" ca="1" si="221"/>
        <v>23</v>
      </c>
      <c r="Q486" s="304">
        <f t="shared" ca="1" si="222"/>
        <v>0</v>
      </c>
      <c r="R486" s="306">
        <f t="shared" ca="1" si="223"/>
        <v>0</v>
      </c>
      <c r="S486" s="307">
        <f t="shared" ca="1" si="224"/>
        <v>8.5499999999999989</v>
      </c>
      <c r="T486" s="304">
        <f t="shared" ca="1" si="204"/>
        <v>83.875499999999988</v>
      </c>
      <c r="U486" s="311">
        <f t="shared" ca="1" si="205"/>
        <v>0</v>
      </c>
      <c r="V486" s="306">
        <f t="shared" ca="1" si="206"/>
        <v>1.1841541680921563</v>
      </c>
      <c r="W486" s="304">
        <f t="shared" ca="1" si="207"/>
        <v>47.38679526425139</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4.2199231106824664</v>
      </c>
      <c r="AH486" s="304">
        <f t="shared" ca="1" si="231"/>
        <v>-5.495042696903627</v>
      </c>
    </row>
    <row r="487" spans="1:34" x14ac:dyDescent="0.3">
      <c r="A487" s="347">
        <f t="shared" ca="1" si="209"/>
        <v>0.1</v>
      </c>
      <c r="B487" s="304">
        <f t="shared" ca="1" si="210"/>
        <v>30.300000000000164</v>
      </c>
      <c r="D487" s="306">
        <f t="shared" ca="1" si="211"/>
        <v>-0.76300643611249863</v>
      </c>
      <c r="E487" s="307">
        <f t="shared" ca="1" si="212"/>
        <v>-4.3204572732286657</v>
      </c>
      <c r="F487" s="304">
        <f t="shared" ca="1" si="213"/>
        <v>4.3873146537880752</v>
      </c>
      <c r="G487" s="306">
        <f t="shared" ca="1" si="214"/>
        <v>15.568073441683394</v>
      </c>
      <c r="H487" s="307">
        <f t="shared" ca="1" si="215"/>
        <v>-112.98740032220444</v>
      </c>
      <c r="I487" s="304">
        <f t="shared" ca="1" si="216"/>
        <v>114.05488828741946</v>
      </c>
      <c r="J487" s="306">
        <f t="shared" ca="1" si="217"/>
        <v>724.06305676744671</v>
      </c>
      <c r="K487" s="307">
        <f t="shared" ca="1" si="218"/>
        <v>327.8114307552658</v>
      </c>
      <c r="L487" s="304">
        <f t="shared" ca="1" si="203"/>
        <v>794.81296184022642</v>
      </c>
      <c r="M487" s="306">
        <f t="shared" ca="1" si="219"/>
        <v>-1.433872555819268</v>
      </c>
      <c r="N487" s="304">
        <f t="shared" ca="1" si="220"/>
        <v>-82.154845808080609</v>
      </c>
      <c r="P487" s="310">
        <f t="shared" ca="1" si="221"/>
        <v>23</v>
      </c>
      <c r="Q487" s="304">
        <f t="shared" ca="1" si="222"/>
        <v>0</v>
      </c>
      <c r="R487" s="306">
        <f t="shared" ca="1" si="223"/>
        <v>0</v>
      </c>
      <c r="S487" s="307">
        <f t="shared" ca="1" si="224"/>
        <v>8.5499999999999989</v>
      </c>
      <c r="T487" s="304">
        <f t="shared" ca="1" si="204"/>
        <v>83.875499999999988</v>
      </c>
      <c r="U487" s="311">
        <f t="shared" ca="1" si="205"/>
        <v>0</v>
      </c>
      <c r="V487" s="306">
        <f t="shared" ca="1" si="206"/>
        <v>1.1854906800672462</v>
      </c>
      <c r="W487" s="304">
        <f t="shared" ca="1" si="207"/>
        <v>47.789513799421691</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4.174276452282645</v>
      </c>
      <c r="AH487" s="304">
        <f t="shared" ca="1" si="231"/>
        <v>-5.542315235584959</v>
      </c>
    </row>
    <row r="488" spans="1:34" x14ac:dyDescent="0.3">
      <c r="A488" s="347">
        <f t="shared" ca="1" si="209"/>
        <v>0.1</v>
      </c>
      <c r="B488" s="304">
        <f t="shared" ca="1" si="210"/>
        <v>30.400000000000166</v>
      </c>
      <c r="D488" s="306">
        <f t="shared" ca="1" si="211"/>
        <v>-0.76293487140661687</v>
      </c>
      <c r="E488" s="307">
        <f t="shared" ca="1" si="212"/>
        <v>-4.2728968986885896</v>
      </c>
      <c r="F488" s="304">
        <f t="shared" ca="1" si="213"/>
        <v>4.3404743432982986</v>
      </c>
      <c r="G488" s="306">
        <f t="shared" ca="1" si="214"/>
        <v>15.491779954542732</v>
      </c>
      <c r="H488" s="307">
        <f t="shared" ca="1" si="215"/>
        <v>-113.41469001207329</v>
      </c>
      <c r="I488" s="304">
        <f t="shared" ca="1" si="216"/>
        <v>114.46784333031984</v>
      </c>
      <c r="J488" s="306">
        <f t="shared" ca="1" si="217"/>
        <v>725.61604943725797</v>
      </c>
      <c r="K488" s="307">
        <f t="shared" ca="1" si="218"/>
        <v>316.49132623855189</v>
      </c>
      <c r="L488" s="304">
        <f t="shared" ca="1" si="203"/>
        <v>791.63464476055537</v>
      </c>
      <c r="M488" s="306">
        <f t="shared" ca="1" si="219"/>
        <v>-1.4350423422362306</v>
      </c>
      <c r="N488" s="304">
        <f t="shared" ca="1" si="220"/>
        <v>-82.221869632704298</v>
      </c>
      <c r="P488" s="310">
        <f t="shared" ca="1" si="221"/>
        <v>23</v>
      </c>
      <c r="Q488" s="304">
        <f t="shared" ca="1" si="222"/>
        <v>0</v>
      </c>
      <c r="R488" s="306">
        <f t="shared" ca="1" si="223"/>
        <v>0</v>
      </c>
      <c r="S488" s="307">
        <f t="shared" ca="1" si="224"/>
        <v>8.5499999999999989</v>
      </c>
      <c r="T488" s="304">
        <f t="shared" ca="1" si="204"/>
        <v>83.875499999999988</v>
      </c>
      <c r="U488" s="311">
        <f t="shared" ca="1" si="205"/>
        <v>0</v>
      </c>
      <c r="V488" s="306">
        <f t="shared" ca="1" si="206"/>
        <v>1.1868337764708896</v>
      </c>
      <c r="W488" s="304">
        <f t="shared" ca="1" si="207"/>
        <v>48.190736038094663</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4.1287672399596413</v>
      </c>
      <c r="AH488" s="304">
        <f t="shared" ca="1" si="231"/>
        <v>-5.5894168186458124</v>
      </c>
    </row>
    <row r="489" spans="1:34" x14ac:dyDescent="0.3">
      <c r="A489" s="347">
        <f t="shared" ca="1" si="209"/>
        <v>0.1</v>
      </c>
      <c r="B489" s="304">
        <f t="shared" ca="1" si="210"/>
        <v>30.500000000000167</v>
      </c>
      <c r="D489" s="306">
        <f t="shared" ca="1" si="211"/>
        <v>-0.76280804375128475</v>
      </c>
      <c r="E489" s="307">
        <f t="shared" ca="1" si="212"/>
        <v>-4.2255133835735146</v>
      </c>
      <c r="F489" s="304">
        <f t="shared" ca="1" si="213"/>
        <v>4.2938140931310187</v>
      </c>
      <c r="G489" s="306">
        <f t="shared" ca="1" si="214"/>
        <v>15.415499150167603</v>
      </c>
      <c r="H489" s="307">
        <f t="shared" ca="1" si="215"/>
        <v>-113.83724135043065</v>
      </c>
      <c r="I489" s="304">
        <f t="shared" ca="1" si="216"/>
        <v>114.87626009025979</v>
      </c>
      <c r="J489" s="306">
        <f t="shared" ca="1" si="217"/>
        <v>727.1614133924935</v>
      </c>
      <c r="K489" s="307">
        <f t="shared" ca="1" si="218"/>
        <v>305.12872967042671</v>
      </c>
      <c r="L489" s="304">
        <f t="shared" ca="1" si="203"/>
        <v>788.58560904777937</v>
      </c>
      <c r="M489" s="306">
        <f t="shared" ca="1" si="219"/>
        <v>-1.4361980728971337</v>
      </c>
      <c r="N489" s="304">
        <f t="shared" ca="1" si="220"/>
        <v>-82.288088121827911</v>
      </c>
      <c r="P489" s="310">
        <f t="shared" ca="1" si="221"/>
        <v>23</v>
      </c>
      <c r="Q489" s="304">
        <f t="shared" ca="1" si="222"/>
        <v>0</v>
      </c>
      <c r="R489" s="306">
        <f t="shared" ca="1" si="223"/>
        <v>0</v>
      </c>
      <c r="S489" s="307">
        <f t="shared" ca="1" si="224"/>
        <v>8.5499999999999989</v>
      </c>
      <c r="T489" s="304">
        <f t="shared" ca="1" si="204"/>
        <v>83.875499999999988</v>
      </c>
      <c r="U489" s="311">
        <f t="shared" ca="1" si="205"/>
        <v>0</v>
      </c>
      <c r="V489" s="306">
        <f t="shared" ca="1" si="206"/>
        <v>1.1881834204232267</v>
      </c>
      <c r="W489" s="304">
        <f t="shared" ca="1" si="207"/>
        <v>48.590428133180097</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4.0834003907077969</v>
      </c>
      <c r="AH489" s="304">
        <f t="shared" ca="1" si="231"/>
        <v>-5.6363433962683827</v>
      </c>
    </row>
    <row r="490" spans="1:34" x14ac:dyDescent="0.3">
      <c r="A490" s="347">
        <f t="shared" ca="1" si="209"/>
        <v>0.1</v>
      </c>
      <c r="B490" s="304">
        <f t="shared" ca="1" si="210"/>
        <v>30.600000000000168</v>
      </c>
      <c r="D490" s="306">
        <f t="shared" ca="1" si="211"/>
        <v>-0.76262653886854326</v>
      </c>
      <c r="E490" s="307">
        <f t="shared" ca="1" si="212"/>
        <v>-4.1783107163949307</v>
      </c>
      <c r="F490" s="304">
        <f t="shared" ca="1" si="213"/>
        <v>4.2473379522387118</v>
      </c>
      <c r="G490" s="306">
        <f t="shared" ca="1" si="214"/>
        <v>15.339236496280749</v>
      </c>
      <c r="H490" s="307">
        <f t="shared" ca="1" si="215"/>
        <v>-114.25507242207014</v>
      </c>
      <c r="I490" s="304">
        <f t="shared" ca="1" si="216"/>
        <v>115.28015332424452</v>
      </c>
      <c r="J490" s="306">
        <f t="shared" ca="1" si="217"/>
        <v>728.69915017481594</v>
      </c>
      <c r="K490" s="307">
        <f t="shared" ca="1" si="218"/>
        <v>293.72411398180168</v>
      </c>
      <c r="L490" s="304">
        <f t="shared" ca="1" si="203"/>
        <v>785.66933668044692</v>
      </c>
      <c r="M490" s="306">
        <f t="shared" ca="1" si="219"/>
        <v>-1.437340009147607</v>
      </c>
      <c r="N490" s="304">
        <f t="shared" ca="1" si="220"/>
        <v>-82.353516249453023</v>
      </c>
      <c r="P490" s="310">
        <f t="shared" ca="1" si="221"/>
        <v>23</v>
      </c>
      <c r="Q490" s="304">
        <f t="shared" ca="1" si="222"/>
        <v>0</v>
      </c>
      <c r="R490" s="306">
        <f t="shared" ca="1" si="223"/>
        <v>0</v>
      </c>
      <c r="S490" s="307">
        <f t="shared" ca="1" si="224"/>
        <v>8.5499999999999989</v>
      </c>
      <c r="T490" s="304">
        <f t="shared" ca="1" si="204"/>
        <v>83.875499999999988</v>
      </c>
      <c r="U490" s="311">
        <f t="shared" ca="1" si="205"/>
        <v>0</v>
      </c>
      <c r="V490" s="306">
        <f t="shared" ca="1" si="206"/>
        <v>1.189539575131032</v>
      </c>
      <c r="W490" s="304">
        <f t="shared" ca="1" si="207"/>
        <v>48.988557014379474</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4.0381807027233645</v>
      </c>
      <c r="AH490" s="304">
        <f t="shared" ca="1" si="231"/>
        <v>-5.6830910097286669</v>
      </c>
    </row>
    <row r="491" spans="1:34" x14ac:dyDescent="0.3">
      <c r="A491" s="347">
        <f t="shared" ca="1" si="209"/>
        <v>0.1</v>
      </c>
      <c r="B491" s="304">
        <f t="shared" ca="1" si="210"/>
        <v>30.70000000000017</v>
      </c>
      <c r="D491" s="306">
        <f t="shared" ca="1" si="211"/>
        <v>-0.76239094664991991</v>
      </c>
      <c r="E491" s="307">
        <f t="shared" ca="1" si="212"/>
        <v>-4.1312927941662698</v>
      </c>
      <c r="F491" s="304">
        <f t="shared" ca="1" si="213"/>
        <v>4.2010498814777124</v>
      </c>
      <c r="G491" s="306">
        <f t="shared" ca="1" si="214"/>
        <v>15.262997401615758</v>
      </c>
      <c r="H491" s="307">
        <f t="shared" ca="1" si="215"/>
        <v>-114.66820170148677</v>
      </c>
      <c r="I491" s="304">
        <f t="shared" ca="1" si="216"/>
        <v>115.67953825605713</v>
      </c>
      <c r="J491" s="306">
        <f t="shared" ca="1" si="217"/>
        <v>730.22926186971074</v>
      </c>
      <c r="K491" s="307">
        <f t="shared" ca="1" si="218"/>
        <v>282.27795027562382</v>
      </c>
      <c r="L491" s="304">
        <f t="shared" ca="1" si="203"/>
        <v>782.88927448432332</v>
      </c>
      <c r="M491" s="306">
        <f t="shared" ca="1" si="219"/>
        <v>-1.4384684057011468</v>
      </c>
      <c r="N491" s="304">
        <f t="shared" ca="1" si="220"/>
        <v>-82.418168609587951</v>
      </c>
      <c r="P491" s="310">
        <f t="shared" ca="1" si="221"/>
        <v>23</v>
      </c>
      <c r="Q491" s="304">
        <f t="shared" ca="1" si="222"/>
        <v>0</v>
      </c>
      <c r="R491" s="306">
        <f t="shared" ca="1" si="223"/>
        <v>0</v>
      </c>
      <c r="S491" s="307">
        <f t="shared" ca="1" si="224"/>
        <v>8.5499999999999989</v>
      </c>
      <c r="T491" s="304">
        <f t="shared" ca="1" si="204"/>
        <v>83.875499999999988</v>
      </c>
      <c r="U491" s="311">
        <f t="shared" ca="1" si="205"/>
        <v>0</v>
      </c>
      <c r="V491" s="306">
        <f t="shared" ca="1" si="206"/>
        <v>1.1909022038909649</v>
      </c>
      <c r="W491" s="304">
        <f t="shared" ca="1" si="207"/>
        <v>49.385090385848606</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3.9931128566962615</v>
      </c>
      <c r="AH491" s="304">
        <f t="shared" ca="1" si="231"/>
        <v>-5.7296557911554951</v>
      </c>
    </row>
    <row r="492" spans="1:34" x14ac:dyDescent="0.3">
      <c r="A492" s="347">
        <f t="shared" ca="1" si="209"/>
        <v>0.1</v>
      </c>
      <c r="B492" s="304">
        <f t="shared" ca="1" si="210"/>
        <v>30.800000000000171</v>
      </c>
      <c r="D492" s="306">
        <f t="shared" ca="1" si="211"/>
        <v>-0.76210186089865495</v>
      </c>
      <c r="E492" s="307">
        <f t="shared" ca="1" si="212"/>
        <v>-4.0844634226725196</v>
      </c>
      <c r="F492" s="304">
        <f t="shared" ca="1" si="213"/>
        <v>4.1549537539586296</v>
      </c>
      <c r="G492" s="306">
        <f t="shared" ca="1" si="214"/>
        <v>15.186787215525893</v>
      </c>
      <c r="H492" s="307">
        <f t="shared" ca="1" si="215"/>
        <v>-115.07664804375402</v>
      </c>
      <c r="I492" s="304">
        <f t="shared" ca="1" si="216"/>
        <v>116.07443056468421</v>
      </c>
      <c r="J492" s="306">
        <f t="shared" ca="1" si="217"/>
        <v>731.75175110056784</v>
      </c>
      <c r="K492" s="307">
        <f t="shared" ca="1" si="218"/>
        <v>270.79070778836177</v>
      </c>
      <c r="L492" s="304">
        <f t="shared" ca="1" si="203"/>
        <v>780.24882740268777</v>
      </c>
      <c r="M492" s="306">
        <f t="shared" ca="1" si="219"/>
        <v>-1.4395835108457071</v>
      </c>
      <c r="N492" s="304">
        <f t="shared" ca="1" si="220"/>
        <v>-82.482059428084597</v>
      </c>
      <c r="P492" s="310">
        <f t="shared" ca="1" si="221"/>
        <v>23</v>
      </c>
      <c r="Q492" s="304">
        <f t="shared" ca="1" si="222"/>
        <v>0</v>
      </c>
      <c r="R492" s="306">
        <f t="shared" ca="1" si="223"/>
        <v>0</v>
      </c>
      <c r="S492" s="307">
        <f t="shared" ca="1" si="224"/>
        <v>8.5499999999999989</v>
      </c>
      <c r="T492" s="304">
        <f t="shared" ca="1" si="204"/>
        <v>83.875499999999988</v>
      </c>
      <c r="U492" s="311">
        <f t="shared" ca="1" si="205"/>
        <v>0</v>
      </c>
      <c r="V492" s="306">
        <f t="shared" ca="1" si="206"/>
        <v>1.1922712700927558</v>
      </c>
      <c r="W492" s="304">
        <f t="shared" ca="1" si="207"/>
        <v>49.779996723588788</v>
      </c>
      <c r="Y492" s="314" t="str">
        <f t="shared" ca="1" si="225"/>
        <v/>
      </c>
      <c r="Z492" s="315" t="str">
        <f t="shared" ca="1" si="226"/>
        <v/>
      </c>
      <c r="AA492" s="316" t="str">
        <f t="shared" ca="1" si="227"/>
        <v/>
      </c>
      <c r="AC492" s="310" t="e">
        <f t="shared" ca="1" si="228"/>
        <v>#N/A</v>
      </c>
      <c r="AD492" s="323" t="e">
        <f t="shared" ca="1" si="229"/>
        <v>#N/A</v>
      </c>
      <c r="AE492" s="324" t="e">
        <f t="shared" ca="1" si="208"/>
        <v>#N/A</v>
      </c>
      <c r="AG492" s="306">
        <f t="shared" ca="1" si="230"/>
        <v>3.9482014170883852</v>
      </c>
      <c r="AH492" s="304">
        <f t="shared" ca="1" si="231"/>
        <v>-5.7760339632571478</v>
      </c>
    </row>
    <row r="493" spans="1:34" x14ac:dyDescent="0.3">
      <c r="A493" s="347">
        <f t="shared" ca="1" si="209"/>
        <v>0.1</v>
      </c>
      <c r="B493" s="304">
        <f t="shared" ca="1" si="210"/>
        <v>30.900000000000173</v>
      </c>
      <c r="D493" s="306">
        <f t="shared" ca="1" si="211"/>
        <v>-0.76175987907563802</v>
      </c>
      <c r="E493" s="307">
        <f t="shared" ca="1" si="212"/>
        <v>-4.0378263167721444</v>
      </c>
      <c r="F493" s="304">
        <f t="shared" ca="1" si="213"/>
        <v>4.1090533554320068</v>
      </c>
      <c r="G493" s="306">
        <f t="shared" ca="1" si="214"/>
        <v>15.11061122761833</v>
      </c>
      <c r="H493" s="307">
        <f t="shared" ca="1" si="215"/>
        <v>-115.48043067543124</v>
      </c>
      <c r="I493" s="304">
        <f t="shared" ca="1" si="216"/>
        <v>116.46484637286611</v>
      </c>
      <c r="J493" s="306">
        <f t="shared" ca="1" si="217"/>
        <v>733.26662102272508</v>
      </c>
      <c r="K493" s="307">
        <f t="shared" ca="1" si="218"/>
        <v>259.26285385240249</v>
      </c>
      <c r="L493" s="304">
        <f t="shared" ca="1" si="203"/>
        <v>777.7513515859531</v>
      </c>
      <c r="M493" s="306">
        <f t="shared" ca="1" si="219"/>
        <v>-1.4406855666427079</v>
      </c>
      <c r="N493" s="304">
        <f t="shared" ca="1" si="220"/>
        <v>-82.545202574040658</v>
      </c>
      <c r="P493" s="310">
        <f t="shared" ca="1" si="221"/>
        <v>23</v>
      </c>
      <c r="Q493" s="304">
        <f t="shared" ca="1" si="222"/>
        <v>0</v>
      </c>
      <c r="R493" s="306">
        <f t="shared" ca="1" si="223"/>
        <v>0</v>
      </c>
      <c r="S493" s="307">
        <f t="shared" ca="1" si="224"/>
        <v>8.5499999999999989</v>
      </c>
      <c r="T493" s="304">
        <f t="shared" ca="1" si="204"/>
        <v>83.875499999999988</v>
      </c>
      <c r="U493" s="311">
        <f t="shared" ca="1" si="205"/>
        <v>0</v>
      </c>
      <c r="V493" s="306">
        <f t="shared" ca="1" si="206"/>
        <v>1.1936467372223465</v>
      </c>
      <c r="W493" s="304">
        <f t="shared" ca="1" si="207"/>
        <v>50.173245272574185</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3.9034508334000169</v>
      </c>
      <c r="AH493" s="304">
        <f t="shared" ca="1" si="231"/>
        <v>-5.8222218390162332</v>
      </c>
    </row>
    <row r="494" spans="1:34" x14ac:dyDescent="0.3">
      <c r="A494" s="347">
        <f t="shared" ca="1" si="209"/>
        <v>0.1</v>
      </c>
      <c r="B494" s="304">
        <f t="shared" ca="1" si="210"/>
        <v>31.000000000000174</v>
      </c>
      <c r="D494" s="306">
        <f t="shared" ca="1" si="211"/>
        <v>-0.76136560204911419</v>
      </c>
      <c r="E494" s="307">
        <f t="shared" ca="1" si="212"/>
        <v>-3.9913851007303851</v>
      </c>
      <c r="F494" s="304">
        <f t="shared" ca="1" si="213"/>
        <v>4.0633523847084829</v>
      </c>
      <c r="G494" s="306">
        <f t="shared" ca="1" si="214"/>
        <v>15.034474667413418</v>
      </c>
      <c r="H494" s="307">
        <f t="shared" ca="1" si="215"/>
        <v>-115.87956918550428</v>
      </c>
      <c r="I494" s="304">
        <f t="shared" ca="1" si="216"/>
        <v>116.85080223577059</v>
      </c>
      <c r="J494" s="306">
        <f t="shared" ca="1" si="217"/>
        <v>734.77387531747661</v>
      </c>
      <c r="K494" s="307">
        <f t="shared" ca="1" si="218"/>
        <v>247.6948538593557</v>
      </c>
      <c r="L494" s="304">
        <f t="shared" ca="1" si="203"/>
        <v>775.40014732876489</v>
      </c>
      <c r="M494" s="306">
        <f t="shared" ca="1" si="219"/>
        <v>-1.4417748091187845</v>
      </c>
      <c r="N494" s="304">
        <f t="shared" ca="1" si="220"/>
        <v>-82.607611570786233</v>
      </c>
      <c r="P494" s="310">
        <f t="shared" ca="1" si="221"/>
        <v>23</v>
      </c>
      <c r="Q494" s="304">
        <f t="shared" ca="1" si="222"/>
        <v>0</v>
      </c>
      <c r="R494" s="306">
        <f t="shared" ca="1" si="223"/>
        <v>0</v>
      </c>
      <c r="S494" s="307">
        <f t="shared" ca="1" si="224"/>
        <v>8.5499999999999989</v>
      </c>
      <c r="T494" s="304">
        <f t="shared" ca="1" si="204"/>
        <v>83.875499999999988</v>
      </c>
      <c r="U494" s="311">
        <f t="shared" ca="1" si="205"/>
        <v>0</v>
      </c>
      <c r="V494" s="306">
        <f t="shared" ca="1" si="206"/>
        <v>1.1950285688649762</v>
      </c>
      <c r="W494" s="304">
        <f t="shared" ca="1" si="207"/>
        <v>50.564806043621687</v>
      </c>
      <c r="Y494" s="314" t="str">
        <f t="shared" ca="1" si="225"/>
        <v/>
      </c>
      <c r="Z494" s="315" t="str">
        <f t="shared" ca="1" si="226"/>
        <v/>
      </c>
      <c r="AA494" s="316" t="str">
        <f t="shared" ca="1" si="227"/>
        <v/>
      </c>
      <c r="AC494" s="310">
        <f t="shared" ca="1" si="228"/>
        <v>31.000000000000174</v>
      </c>
      <c r="AD494" s="323">
        <f t="shared" ca="1" si="229"/>
        <v>734.77387531747661</v>
      </c>
      <c r="AE494" s="324" t="e">
        <f t="shared" ca="1" si="208"/>
        <v>#N/A</v>
      </c>
      <c r="AG494" s="306">
        <f t="shared" ca="1" si="230"/>
        <v>3.8588654414256327</v>
      </c>
      <c r="AH494" s="304">
        <f t="shared" ca="1" si="231"/>
        <v>-5.868215821353707</v>
      </c>
    </row>
    <row r="495" spans="1:34" x14ac:dyDescent="0.3">
      <c r="A495" s="347">
        <f t="shared" ca="1" si="209"/>
        <v>0.1</v>
      </c>
      <c r="B495" s="304">
        <f t="shared" ca="1" si="210"/>
        <v>31.100000000000176</v>
      </c>
      <c r="D495" s="306">
        <f t="shared" ca="1" si="211"/>
        <v>-0.76091963384815386</v>
      </c>
      <c r="E495" s="307">
        <f t="shared" ca="1" si="212"/>
        <v>-3.9451433085832122</v>
      </c>
      <c r="F495" s="304">
        <f t="shared" ca="1" si="213"/>
        <v>4.0178544541128538</v>
      </c>
      <c r="G495" s="306">
        <f t="shared" ca="1" si="214"/>
        <v>14.958382704028603</v>
      </c>
      <c r="H495" s="307">
        <f t="shared" ca="1" si="215"/>
        <v>-116.27408351636259</v>
      </c>
      <c r="I495" s="304">
        <f t="shared" ca="1" si="216"/>
        <v>117.23231512978938</v>
      </c>
      <c r="J495" s="306">
        <f t="shared" ca="1" si="217"/>
        <v>736.2735181860487</v>
      </c>
      <c r="K495" s="307">
        <f t="shared" ca="1" si="218"/>
        <v>236.08717122426236</v>
      </c>
      <c r="L495" s="304">
        <f t="shared" ca="1" si="203"/>
        <v>773.19845188588943</v>
      </c>
      <c r="M495" s="306">
        <f t="shared" ca="1" si="219"/>
        <v>-1.4428514684505809</v>
      </c>
      <c r="N495" s="304">
        <f t="shared" ca="1" si="220"/>
        <v>-82.66929960647154</v>
      </c>
      <c r="P495" s="310">
        <f t="shared" ca="1" si="221"/>
        <v>23</v>
      </c>
      <c r="Q495" s="304">
        <f t="shared" ca="1" si="222"/>
        <v>0</v>
      </c>
      <c r="R495" s="306">
        <f t="shared" ca="1" si="223"/>
        <v>0</v>
      </c>
      <c r="S495" s="307">
        <f t="shared" ca="1" si="224"/>
        <v>8.5499999999999989</v>
      </c>
      <c r="T495" s="304">
        <f t="shared" ca="1" si="204"/>
        <v>83.875499999999988</v>
      </c>
      <c r="U495" s="311">
        <f t="shared" ca="1" si="205"/>
        <v>0</v>
      </c>
      <c r="V495" s="306">
        <f t="shared" ca="1" si="206"/>
        <v>1.1964167287082086</v>
      </c>
      <c r="W495" s="304">
        <f t="shared" ca="1" si="207"/>
        <v>50.954649810009926</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3.8144494645003375</v>
      </c>
      <c r="AH495" s="304">
        <f t="shared" ca="1" si="231"/>
        <v>-5.9140124027627712</v>
      </c>
    </row>
    <row r="496" spans="1:34" x14ac:dyDescent="0.3">
      <c r="A496" s="347">
        <f t="shared" ca="1" si="209"/>
        <v>0.1</v>
      </c>
      <c r="B496" s="304">
        <f t="shared" ca="1" si="210"/>
        <v>31.200000000000177</v>
      </c>
      <c r="D496" s="306">
        <f t="shared" ca="1" si="211"/>
        <v>-0.76042258141992813</v>
      </c>
      <c r="E496" s="307">
        <f t="shared" ca="1" si="212"/>
        <v>-3.8991043845310873</v>
      </c>
      <c r="F496" s="304">
        <f t="shared" ca="1" si="213"/>
        <v>3.9725630899713722</v>
      </c>
      <c r="G496" s="306">
        <f t="shared" ca="1" si="214"/>
        <v>14.88234044588661</v>
      </c>
      <c r="H496" s="307">
        <f t="shared" ca="1" si="215"/>
        <v>-116.66399395481571</v>
      </c>
      <c r="I496" s="304">
        <f t="shared" ca="1" si="216"/>
        <v>117.60940244145682</v>
      </c>
      <c r="J496" s="306">
        <f t="shared" ca="1" si="217"/>
        <v>737.76555434354441</v>
      </c>
      <c r="K496" s="307">
        <f t="shared" ca="1" si="218"/>
        <v>224.44026735070344</v>
      </c>
      <c r="L496" s="304">
        <f t="shared" ca="1" si="203"/>
        <v>771.14943220123848</v>
      </c>
      <c r="M496" s="306">
        <f t="shared" ca="1" si="219"/>
        <v>-1.4439157691428763</v>
      </c>
      <c r="N496" s="304">
        <f t="shared" ca="1" si="220"/>
        <v>-82.730279544272918</v>
      </c>
      <c r="P496" s="310">
        <f t="shared" ca="1" si="221"/>
        <v>23</v>
      </c>
      <c r="Q496" s="304">
        <f t="shared" ca="1" si="222"/>
        <v>0</v>
      </c>
      <c r="R496" s="306">
        <f t="shared" ca="1" si="223"/>
        <v>0</v>
      </c>
      <c r="S496" s="307">
        <f t="shared" ca="1" si="224"/>
        <v>8.5499999999999989</v>
      </c>
      <c r="T496" s="304">
        <f t="shared" ca="1" si="204"/>
        <v>83.875499999999988</v>
      </c>
      <c r="U496" s="311">
        <f t="shared" ca="1" si="205"/>
        <v>0</v>
      </c>
      <c r="V496" s="306">
        <f t="shared" ca="1" si="206"/>
        <v>1.1978111805449114</v>
      </c>
      <c r="W496" s="304">
        <f t="shared" ca="1" si="207"/>
        <v>51.342748103854852</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3.7702070147380926</v>
      </c>
      <c r="AH496" s="304">
        <f t="shared" ca="1" si="231"/>
        <v>-5.9596081649134423</v>
      </c>
    </row>
    <row r="497" spans="1:34" x14ac:dyDescent="0.3">
      <c r="A497" s="347">
        <f t="shared" ca="1" si="209"/>
        <v>0.1</v>
      </c>
      <c r="B497" s="304">
        <f t="shared" ca="1" si="210"/>
        <v>31.300000000000178</v>
      </c>
      <c r="D497" s="306">
        <f t="shared" ca="1" si="211"/>
        <v>-0.7598750543908056</v>
      </c>
      <c r="E497" s="307">
        <f t="shared" ca="1" si="212"/>
        <v>-3.8532716833616991</v>
      </c>
      <c r="F497" s="304">
        <f t="shared" ca="1" si="213"/>
        <v>3.9274817331316174</v>
      </c>
      <c r="G497" s="306">
        <f t="shared" ca="1" si="214"/>
        <v>14.80635294044753</v>
      </c>
      <c r="H497" s="307">
        <f t="shared" ca="1" si="215"/>
        <v>-117.04932112315188</v>
      </c>
      <c r="I497" s="304">
        <f t="shared" ca="1" si="216"/>
        <v>117.98208195648959</v>
      </c>
      <c r="J497" s="306">
        <f t="shared" ca="1" si="217"/>
        <v>739.24998901286108</v>
      </c>
      <c r="K497" s="307">
        <f t="shared" ca="1" si="218"/>
        <v>212.75460159680506</v>
      </c>
      <c r="L497" s="304">
        <f t="shared" ca="1" si="203"/>
        <v>769.25617758723945</v>
      </c>
      <c r="M497" s="306">
        <f t="shared" ca="1" si="219"/>
        <v>-1.4449679302003211</v>
      </c>
      <c r="N497" s="304">
        <f t="shared" ca="1" si="220"/>
        <v>-82.79056393223253</v>
      </c>
      <c r="P497" s="310">
        <f t="shared" ca="1" si="221"/>
        <v>23</v>
      </c>
      <c r="Q497" s="304">
        <f t="shared" ca="1" si="222"/>
        <v>0</v>
      </c>
      <c r="R497" s="306">
        <f t="shared" ca="1" si="223"/>
        <v>0</v>
      </c>
      <c r="S497" s="307">
        <f t="shared" ca="1" si="224"/>
        <v>8.5499999999999989</v>
      </c>
      <c r="T497" s="304">
        <f t="shared" ca="1" si="204"/>
        <v>83.875499999999988</v>
      </c>
      <c r="U497" s="311">
        <f t="shared" ca="1" si="205"/>
        <v>0</v>
      </c>
      <c r="V497" s="306">
        <f t="shared" ca="1" si="206"/>
        <v>1.1992118882761784</v>
      </c>
      <c r="W497" s="304">
        <f t="shared" ca="1" si="207"/>
        <v>51.729073212247734</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3.72614209426267</v>
      </c>
      <c r="AH497" s="304">
        <f t="shared" ca="1" si="231"/>
        <v>-6.0049997782286386</v>
      </c>
    </row>
    <row r="498" spans="1:34" x14ac:dyDescent="0.3">
      <c r="A498" s="347">
        <f t="shared" ca="1" si="209"/>
        <v>0.1</v>
      </c>
      <c r="B498" s="304">
        <f t="shared" ca="1" si="210"/>
        <v>31.40000000000018</v>
      </c>
      <c r="D498" s="306">
        <f t="shared" ca="1" si="211"/>
        <v>-0.75927766483129933</v>
      </c>
      <c r="E498" s="307">
        <f t="shared" ca="1" si="212"/>
        <v>-3.8076484709009328</v>
      </c>
      <c r="F498" s="304">
        <f t="shared" ca="1" si="213"/>
        <v>3.8826137395143858</v>
      </c>
      <c r="G498" s="306">
        <f t="shared" ca="1" si="214"/>
        <v>14.730425173964401</v>
      </c>
      <c r="H498" s="307">
        <f t="shared" ca="1" si="215"/>
        <v>-117.43008597024198</v>
      </c>
      <c r="I498" s="304">
        <f t="shared" ca="1" si="216"/>
        <v>118.35037184894767</v>
      </c>
      <c r="J498" s="306">
        <f t="shared" ca="1" si="217"/>
        <v>740.72682791858165</v>
      </c>
      <c r="K498" s="307">
        <f t="shared" ca="1" si="218"/>
        <v>201.03063124213537</v>
      </c>
      <c r="L498" s="304">
        <f t="shared" ca="1" si="203"/>
        <v>767.52169239438149</v>
      </c>
      <c r="M498" s="306">
        <f t="shared" ca="1" si="219"/>
        <v>-1.4460081652930479</v>
      </c>
      <c r="N498" s="304">
        <f t="shared" ca="1" si="220"/>
        <v>-82.850165012747169</v>
      </c>
      <c r="P498" s="310">
        <f t="shared" ca="1" si="221"/>
        <v>23</v>
      </c>
      <c r="Q498" s="304">
        <f t="shared" ca="1" si="222"/>
        <v>0</v>
      </c>
      <c r="R498" s="306">
        <f t="shared" ca="1" si="223"/>
        <v>0</v>
      </c>
      <c r="S498" s="307">
        <f t="shared" ca="1" si="224"/>
        <v>8.5499999999999989</v>
      </c>
      <c r="T498" s="304">
        <f t="shared" ca="1" si="204"/>
        <v>83.875499999999988</v>
      </c>
      <c r="U498" s="311">
        <f t="shared" ca="1" si="205"/>
        <v>0</v>
      </c>
      <c r="V498" s="306">
        <f t="shared" ca="1" si="206"/>
        <v>1.2006188159141986</v>
      </c>
      <c r="W498" s="304">
        <f t="shared" ca="1" si="207"/>
        <v>52.113598173163325</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3.6822585964323551</v>
      </c>
      <c r="AH498" s="304">
        <f t="shared" ca="1" si="231"/>
        <v>-6.0501840014324841</v>
      </c>
    </row>
    <row r="499" spans="1:34" x14ac:dyDescent="0.3">
      <c r="A499" s="347">
        <f t="shared" ca="1" si="209"/>
        <v>0.1</v>
      </c>
      <c r="B499" s="304">
        <f t="shared" ca="1" si="210"/>
        <v>31.500000000000181</v>
      </c>
      <c r="D499" s="306">
        <f t="shared" ca="1" si="211"/>
        <v>-0.75863102702486329</v>
      </c>
      <c r="E499" s="307">
        <f t="shared" ca="1" si="212"/>
        <v>-3.7622379244911626</v>
      </c>
      <c r="F499" s="304">
        <f t="shared" ca="1" si="213"/>
        <v>3.8379623806968679</v>
      </c>
      <c r="G499" s="306">
        <f t="shared" ca="1" si="214"/>
        <v>14.654562071261914</v>
      </c>
      <c r="H499" s="307">
        <f t="shared" ca="1" si="215"/>
        <v>-117.80630976269109</v>
      </c>
      <c r="I499" s="304">
        <f t="shared" ca="1" si="216"/>
        <v>118.71429067051528</v>
      </c>
      <c r="J499" s="306">
        <f t="shared" ca="1" si="217"/>
        <v>742.19607728084293</v>
      </c>
      <c r="K499" s="307">
        <f t="shared" ca="1" si="218"/>
        <v>189.26881145548873</v>
      </c>
      <c r="L499" s="304">
        <f t="shared" ca="1" si="203"/>
        <v>765.94888871310752</v>
      </c>
      <c r="M499" s="306">
        <f t="shared" ca="1" si="219"/>
        <v>-1.4470366829164076</v>
      </c>
      <c r="N499" s="304">
        <f t="shared" ca="1" si="220"/>
        <v>-82.909094731720515</v>
      </c>
      <c r="P499" s="310">
        <f t="shared" ca="1" si="221"/>
        <v>23</v>
      </c>
      <c r="Q499" s="304">
        <f t="shared" ca="1" si="222"/>
        <v>0</v>
      </c>
      <c r="R499" s="306">
        <f t="shared" ca="1" si="223"/>
        <v>0</v>
      </c>
      <c r="S499" s="307">
        <f t="shared" ca="1" si="224"/>
        <v>8.5499999999999989</v>
      </c>
      <c r="T499" s="304">
        <f t="shared" ca="1" si="204"/>
        <v>83.875499999999988</v>
      </c>
      <c r="U499" s="311">
        <f t="shared" ca="1" si="205"/>
        <v>0</v>
      </c>
      <c r="V499" s="306">
        <f t="shared" ca="1" si="206"/>
        <v>1.2020319275850726</v>
      </c>
      <c r="W499" s="304">
        <f t="shared" ca="1" si="207"/>
        <v>52.496296771144301</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3.6385603070590875</v>
      </c>
      <c r="AH499" s="304">
        <f t="shared" ca="1" si="231"/>
        <v>-6.0951576810717345</v>
      </c>
    </row>
    <row r="500" spans="1:34" x14ac:dyDescent="0.3">
      <c r="A500" s="347">
        <f t="shared" ca="1" si="209"/>
        <v>0.1</v>
      </c>
      <c r="B500" s="304">
        <f t="shared" ca="1" si="210"/>
        <v>31.600000000000183</v>
      </c>
      <c r="D500" s="306">
        <f t="shared" ca="1" si="211"/>
        <v>-0.75793575724056861</v>
      </c>
      <c r="E500" s="307">
        <f t="shared" ca="1" si="212"/>
        <v>-3.7170431334961425</v>
      </c>
      <c r="F500" s="304">
        <f t="shared" ca="1" si="213"/>
        <v>3.7935308445265941</v>
      </c>
      <c r="G500" s="306">
        <f t="shared" ca="1" si="214"/>
        <v>14.578768495537858</v>
      </c>
      <c r="H500" s="307">
        <f t="shared" ca="1" si="215"/>
        <v>-118.1780140760407</v>
      </c>
      <c r="I500" s="304">
        <f t="shared" ca="1" si="216"/>
        <v>119.07385733990212</v>
      </c>
      <c r="J500" s="306">
        <f t="shared" ca="1" si="217"/>
        <v>743.65774380918288</v>
      </c>
      <c r="K500" s="307">
        <f t="shared" ca="1" si="218"/>
        <v>177.46959526355215</v>
      </c>
      <c r="L500" s="304">
        <f t="shared" ca="1" si="203"/>
        <v>764.54057915219471</v>
      </c>
      <c r="M500" s="306">
        <f t="shared" ca="1" si="219"/>
        <v>-1.4480536865450677</v>
      </c>
      <c r="N500" s="304">
        <f t="shared" ca="1" si="220"/>
        <v>-82.967364747392224</v>
      </c>
      <c r="P500" s="310">
        <f t="shared" ca="1" si="221"/>
        <v>23</v>
      </c>
      <c r="Q500" s="304">
        <f t="shared" ca="1" si="222"/>
        <v>0</v>
      </c>
      <c r="R500" s="306">
        <f t="shared" ca="1" si="223"/>
        <v>0</v>
      </c>
      <c r="S500" s="307">
        <f t="shared" ca="1" si="224"/>
        <v>8.5499999999999989</v>
      </c>
      <c r="T500" s="304">
        <f t="shared" ca="1" si="204"/>
        <v>83.875499999999988</v>
      </c>
      <c r="U500" s="311">
        <f t="shared" ca="1" si="205"/>
        <v>0</v>
      </c>
      <c r="V500" s="306">
        <f t="shared" ca="1" si="206"/>
        <v>1.2034511875315741</v>
      </c>
      <c r="W500" s="304">
        <f t="shared" ca="1" si="207"/>
        <v>52.877143532769139</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3.5950509056229301</v>
      </c>
      <c r="AH500" s="304">
        <f t="shared" ca="1" si="231"/>
        <v>-6.1399177510110299</v>
      </c>
    </row>
    <row r="501" spans="1:34" x14ac:dyDescent="0.3">
      <c r="A501" s="347">
        <f t="shared" ca="1" si="209"/>
        <v>0.1</v>
      </c>
      <c r="B501" s="304">
        <f t="shared" ca="1" si="210"/>
        <v>31.700000000000184</v>
      </c>
      <c r="D501" s="306">
        <f t="shared" ca="1" si="211"/>
        <v>-0.75719247350968766</v>
      </c>
      <c r="E501" s="307">
        <f t="shared" ca="1" si="212"/>
        <v>-3.6720670998316329</v>
      </c>
      <c r="F501" s="304">
        <f t="shared" ca="1" si="213"/>
        <v>3.7493222357655016</v>
      </c>
      <c r="G501" s="306">
        <f t="shared" ca="1" si="214"/>
        <v>14.503049248186889</v>
      </c>
      <c r="H501" s="307">
        <f t="shared" ca="1" si="215"/>
        <v>-118.54522078602386</v>
      </c>
      <c r="I501" s="304">
        <f t="shared" ca="1" si="216"/>
        <v>119.42909113236389</v>
      </c>
      <c r="J501" s="306">
        <f t="shared" ca="1" si="217"/>
        <v>745.1118346963691</v>
      </c>
      <c r="K501" s="307">
        <f t="shared" ca="1" si="218"/>
        <v>165.63343352044893</v>
      </c>
      <c r="L501" s="304">
        <f t="shared" ca="1" si="203"/>
        <v>763.29946973934307</v>
      </c>
      <c r="M501" s="306">
        <f t="shared" ca="1" si="219"/>
        <v>-1.4490593747817069</v>
      </c>
      <c r="N501" s="304">
        <f t="shared" ca="1" si="220"/>
        <v>-83.024986438857596</v>
      </c>
      <c r="P501" s="310">
        <f t="shared" ca="1" si="221"/>
        <v>23</v>
      </c>
      <c r="Q501" s="304">
        <f t="shared" ca="1" si="222"/>
        <v>0</v>
      </c>
      <c r="R501" s="306">
        <f t="shared" ca="1" si="223"/>
        <v>0</v>
      </c>
      <c r="S501" s="307">
        <f t="shared" ca="1" si="224"/>
        <v>8.5499999999999989</v>
      </c>
      <c r="T501" s="304">
        <f t="shared" ca="1" si="204"/>
        <v>83.875499999999988</v>
      </c>
      <c r="U501" s="311">
        <f t="shared" ca="1" si="205"/>
        <v>0</v>
      </c>
      <c r="V501" s="306">
        <f t="shared" ca="1" si="206"/>
        <v>1.2048765601158578</v>
      </c>
      <c r="W501" s="304">
        <f t="shared" ca="1" si="207"/>
        <v>53.256113721910005</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3.5517339664823764</v>
      </c>
      <c r="AH501" s="304">
        <f t="shared" ca="1" si="231"/>
        <v>-6.1844612319028238</v>
      </c>
    </row>
    <row r="502" spans="1:34" x14ac:dyDescent="0.3">
      <c r="A502" s="347">
        <f t="shared" ca="1" si="209"/>
        <v>0.1</v>
      </c>
      <c r="B502" s="304">
        <f t="shared" ca="1" si="210"/>
        <v>31.800000000000185</v>
      </c>
      <c r="D502" s="306">
        <f t="shared" ca="1" si="211"/>
        <v>-0.75640179540615948</v>
      </c>
      <c r="E502" s="307">
        <f t="shared" ca="1" si="212"/>
        <v>-3.6273127385209749</v>
      </c>
      <c r="F502" s="304">
        <f t="shared" ca="1" si="213"/>
        <v>3.7053395767635382</v>
      </c>
      <c r="G502" s="306">
        <f t="shared" ca="1" si="214"/>
        <v>14.427409068646273</v>
      </c>
      <c r="H502" s="307">
        <f t="shared" ca="1" si="215"/>
        <v>-118.90795205987595</v>
      </c>
      <c r="I502" s="304">
        <f t="shared" ca="1" si="216"/>
        <v>119.78001166934246</v>
      </c>
      <c r="J502" s="306">
        <f t="shared" ca="1" si="217"/>
        <v>746.55835761221078</v>
      </c>
      <c r="K502" s="307">
        <f t="shared" ca="1" si="218"/>
        <v>153.76077487815394</v>
      </c>
      <c r="L502" s="304">
        <f t="shared" ca="1" si="203"/>
        <v>762.22815299080355</v>
      </c>
      <c r="M502" s="306">
        <f t="shared" ca="1" si="219"/>
        <v>-1.4500539415005185</v>
      </c>
      <c r="N502" s="304">
        <f t="shared" ca="1" si="220"/>
        <v>-83.081970914289684</v>
      </c>
      <c r="P502" s="310">
        <f t="shared" ca="1" si="221"/>
        <v>23</v>
      </c>
      <c r="Q502" s="304">
        <f t="shared" ca="1" si="222"/>
        <v>0</v>
      </c>
      <c r="R502" s="306">
        <f t="shared" ca="1" si="223"/>
        <v>0</v>
      </c>
      <c r="S502" s="307">
        <f t="shared" ca="1" si="224"/>
        <v>8.5499999999999989</v>
      </c>
      <c r="T502" s="304">
        <f t="shared" ca="1" si="204"/>
        <v>83.875499999999988</v>
      </c>
      <c r="U502" s="311">
        <f t="shared" ca="1" si="205"/>
        <v>0</v>
      </c>
      <c r="V502" s="306">
        <f t="shared" ca="1" si="206"/>
        <v>1.2063080098221144</v>
      </c>
      <c r="W502" s="304">
        <f t="shared" ca="1" si="207"/>
        <v>53.633183334787532</v>
      </c>
      <c r="Y502" s="314" t="str">
        <f t="shared" ca="1" si="225"/>
        <v/>
      </c>
      <c r="Z502" s="315" t="str">
        <f t="shared" ca="1" si="226"/>
        <v/>
      </c>
      <c r="AA502" s="316" t="str">
        <f t="shared" ca="1" si="227"/>
        <v/>
      </c>
      <c r="AC502" s="310" t="e">
        <f t="shared" ca="1" si="228"/>
        <v>#N/A</v>
      </c>
      <c r="AD502" s="323" t="e">
        <f t="shared" ca="1" si="229"/>
        <v>#N/A</v>
      </c>
      <c r="AE502" s="324" t="e">
        <f t="shared" ca="1" si="208"/>
        <v>#N/A</v>
      </c>
      <c r="AG502" s="306">
        <f t="shared" ca="1" si="230"/>
        <v>3.5086129600812219</v>
      </c>
      <c r="AH502" s="304">
        <f t="shared" ca="1" si="231"/>
        <v>-6.2287852306327496</v>
      </c>
    </row>
    <row r="503" spans="1:34" x14ac:dyDescent="0.3">
      <c r="A503" s="347">
        <f t="shared" ca="1" si="209"/>
        <v>0.1</v>
      </c>
      <c r="B503" s="304">
        <f t="shared" ca="1" si="210"/>
        <v>31.900000000000187</v>
      </c>
      <c r="D503" s="306">
        <f t="shared" ca="1" si="211"/>
        <v>-0.75556434383099358</v>
      </c>
      <c r="E503" s="307">
        <f t="shared" ca="1" si="212"/>
        <v>-3.5827828782748101</v>
      </c>
      <c r="F503" s="304">
        <f t="shared" ca="1" si="213"/>
        <v>3.6615858081612522</v>
      </c>
      <c r="G503" s="306">
        <f t="shared" ca="1" si="214"/>
        <v>14.351852634263174</v>
      </c>
      <c r="H503" s="307">
        <f t="shared" ca="1" si="215"/>
        <v>-119.26623034770343</v>
      </c>
      <c r="I503" s="304">
        <f t="shared" ca="1" si="216"/>
        <v>120.12663890822493</v>
      </c>
      <c r="J503" s="306">
        <f t="shared" ca="1" si="217"/>
        <v>747.99732069735626</v>
      </c>
      <c r="K503" s="307">
        <f t="shared" ca="1" si="218"/>
        <v>141.85206575777497</v>
      </c>
      <c r="L503" s="304">
        <f t="shared" ca="1" si="203"/>
        <v>761.3291011974859</v>
      </c>
      <c r="M503" s="306">
        <f t="shared" ca="1" si="219"/>
        <v>-1.4510375759857359</v>
      </c>
      <c r="N503" s="304">
        <f t="shared" ca="1" si="220"/>
        <v>-83.138329018876163</v>
      </c>
      <c r="P503" s="310">
        <f t="shared" ca="1" si="221"/>
        <v>23</v>
      </c>
      <c r="Q503" s="304">
        <f t="shared" ca="1" si="222"/>
        <v>0</v>
      </c>
      <c r="R503" s="306">
        <f t="shared" ca="1" si="223"/>
        <v>0</v>
      </c>
      <c r="S503" s="307">
        <f t="shared" ca="1" si="224"/>
        <v>8.5499999999999989</v>
      </c>
      <c r="T503" s="304">
        <f t="shared" ca="1" si="204"/>
        <v>83.875499999999988</v>
      </c>
      <c r="U503" s="311">
        <f t="shared" ca="1" si="205"/>
        <v>0</v>
      </c>
      <c r="V503" s="306">
        <f t="shared" ca="1" si="206"/>
        <v>1.2077455012591727</v>
      </c>
      <c r="W503" s="304">
        <f t="shared" ca="1" si="207"/>
        <v>54.008329094829378</v>
      </c>
      <c r="Y503" s="314" t="str">
        <f t="shared" ca="1" si="225"/>
        <v/>
      </c>
      <c r="Z503" s="315" t="str">
        <f t="shared" ca="1" si="226"/>
        <v/>
      </c>
      <c r="AA503" s="316" t="str">
        <f t="shared" ca="1" si="227"/>
        <v/>
      </c>
      <c r="AC503" s="310" t="e">
        <f t="shared" ca="1" si="228"/>
        <v>#N/A</v>
      </c>
      <c r="AD503" s="323" t="e">
        <f t="shared" ca="1" si="229"/>
        <v>#N/A</v>
      </c>
      <c r="AE503" s="324" t="e">
        <f t="shared" ca="1" si="208"/>
        <v>#N/A</v>
      </c>
      <c r="AG503" s="306">
        <f t="shared" ca="1" si="230"/>
        <v>3.4656912541524001</v>
      </c>
      <c r="AH503" s="304">
        <f t="shared" ca="1" si="231"/>
        <v>-6.2728869397412321</v>
      </c>
    </row>
    <row r="504" spans="1:34" x14ac:dyDescent="0.3">
      <c r="A504" s="347">
        <f t="shared" ca="1" si="209"/>
        <v>0.1</v>
      </c>
      <c r="B504" s="304">
        <f t="shared" ca="1" si="210"/>
        <v>32.000000000000185</v>
      </c>
      <c r="D504" s="306">
        <f t="shared" ca="1" si="211"/>
        <v>-0.75468074080058711</v>
      </c>
      <c r="E504" s="307">
        <f t="shared" ca="1" si="212"/>
        <v>-3.5384802620941018</v>
      </c>
      <c r="F504" s="304">
        <f t="shared" ca="1" si="213"/>
        <v>3.6180637896207504</v>
      </c>
      <c r="G504" s="306">
        <f t="shared" ca="1" si="214"/>
        <v>14.276384560183116</v>
      </c>
      <c r="H504" s="307">
        <f t="shared" ca="1" si="215"/>
        <v>-119.62007837391283</v>
      </c>
      <c r="I504" s="304">
        <f t="shared" ca="1" si="216"/>
        <v>120.46899313222173</v>
      </c>
      <c r="J504" s="306">
        <f t="shared" ca="1" si="217"/>
        <v>749.42873255707855</v>
      </c>
      <c r="K504" s="307">
        <f t="shared" ca="1" si="218"/>
        <v>129.90775032169415</v>
      </c>
      <c r="L504" s="304">
        <f t="shared" ca="1" si="203"/>
        <v>760.60465997504434</v>
      </c>
      <c r="M504" s="306">
        <f t="shared" ca="1" si="219"/>
        <v>-1.4520104630653743</v>
      </c>
      <c r="N504" s="304">
        <f t="shared" ca="1" si="220"/>
        <v>-83.194071342482246</v>
      </c>
      <c r="P504" s="310">
        <f t="shared" ca="1" si="221"/>
        <v>23</v>
      </c>
      <c r="Q504" s="304">
        <f t="shared" ca="1" si="222"/>
        <v>0</v>
      </c>
      <c r="R504" s="306">
        <f t="shared" ca="1" si="223"/>
        <v>0</v>
      </c>
      <c r="S504" s="307">
        <f t="shared" ca="1" si="224"/>
        <v>8.5499999999999989</v>
      </c>
      <c r="T504" s="304">
        <f t="shared" ca="1" si="204"/>
        <v>83.875499999999988</v>
      </c>
      <c r="U504" s="311">
        <f t="shared" ca="1" si="205"/>
        <v>0</v>
      </c>
      <c r="V504" s="306">
        <f t="shared" ca="1" si="206"/>
        <v>1.2091889991630458</v>
      </c>
      <c r="W504" s="304">
        <f t="shared" ca="1" si="207"/>
        <v>54.381528447338759</v>
      </c>
      <c r="Y504" s="314" t="str">
        <f t="shared" ca="1" si="225"/>
        <v/>
      </c>
      <c r="Z504" s="315" t="str">
        <f t="shared" ca="1" si="226"/>
        <v/>
      </c>
      <c r="AA504" s="316" t="str">
        <f t="shared" ca="1" si="227"/>
        <v/>
      </c>
      <c r="AC504" s="310">
        <f t="shared" ca="1" si="228"/>
        <v>32.000000000000185</v>
      </c>
      <c r="AD504" s="323">
        <f t="shared" ca="1" si="229"/>
        <v>749.42873255707855</v>
      </c>
      <c r="AE504" s="324" t="e">
        <f t="shared" ca="1" si="208"/>
        <v>#N/A</v>
      </c>
      <c r="AG504" s="306">
        <f t="shared" ca="1" si="230"/>
        <v>3.422972114919272</v>
      </c>
      <c r="AH504" s="304">
        <f t="shared" ca="1" si="231"/>
        <v>-6.3167636368221505</v>
      </c>
    </row>
    <row r="505" spans="1:34" x14ac:dyDescent="0.3">
      <c r="A505" s="347">
        <f t="shared" ca="1" si="209"/>
        <v>0.1</v>
      </c>
      <c r="B505" s="304">
        <f t="shared" ca="1" si="210"/>
        <v>32.100000000000186</v>
      </c>
      <c r="D505" s="306">
        <f t="shared" ca="1" si="211"/>
        <v>-0.75375160923898521</v>
      </c>
      <c r="E505" s="307">
        <f t="shared" ca="1" si="212"/>
        <v>-3.4944075478957357</v>
      </c>
      <c r="F505" s="304">
        <f t="shared" ca="1" si="213"/>
        <v>3.5747763005845621</v>
      </c>
      <c r="G505" s="306">
        <f t="shared" ca="1" si="214"/>
        <v>14.201009399259217</v>
      </c>
      <c r="H505" s="307">
        <f t="shared" ca="1" si="215"/>
        <v>-119.9695191287024</v>
      </c>
      <c r="I505" s="304">
        <f t="shared" ca="1" si="216"/>
        <v>120.80709494036326</v>
      </c>
      <c r="J505" s="306">
        <f t="shared" ca="1" si="217"/>
        <v>750.85260225505067</v>
      </c>
      <c r="K505" s="307">
        <f t="shared" ca="1" si="218"/>
        <v>117.92827044656339</v>
      </c>
      <c r="L505" s="304">
        <f t="shared" ca="1" si="203"/>
        <v>760.05704212493094</v>
      </c>
      <c r="M505" s="306">
        <f t="shared" ca="1" si="219"/>
        <v>-1.4529727832403823</v>
      </c>
      <c r="N505" s="304">
        <f t="shared" ca="1" si="220"/>
        <v>-83.249208227050502</v>
      </c>
      <c r="P505" s="310">
        <f t="shared" ca="1" si="221"/>
        <v>23</v>
      </c>
      <c r="Q505" s="304">
        <f t="shared" ca="1" si="222"/>
        <v>0</v>
      </c>
      <c r="R505" s="306">
        <f t="shared" ca="1" si="223"/>
        <v>0</v>
      </c>
      <c r="S505" s="307">
        <f t="shared" ca="1" si="224"/>
        <v>8.5499999999999989</v>
      </c>
      <c r="T505" s="304">
        <f t="shared" ca="1" si="204"/>
        <v>83.875499999999988</v>
      </c>
      <c r="U505" s="311">
        <f t="shared" ca="1" si="205"/>
        <v>0</v>
      </c>
      <c r="V505" s="306">
        <f t="shared" ca="1" si="206"/>
        <v>1.2106384683994271</v>
      </c>
      <c r="W505" s="304">
        <f t="shared" ca="1" si="207"/>
        <v>54.752759553980219</v>
      </c>
      <c r="Y505" s="314" t="str">
        <f t="shared" ca="1" si="225"/>
        <v/>
      </c>
      <c r="Z505" s="315" t="str">
        <f t="shared" ca="1" si="226"/>
        <v/>
      </c>
      <c r="AA505" s="316" t="str">
        <f t="shared" ca="1" si="227"/>
        <v/>
      </c>
      <c r="AC505" s="310" t="e">
        <f t="shared" ca="1" si="228"/>
        <v>#N/A</v>
      </c>
      <c r="AD505" s="323" t="e">
        <f t="shared" ca="1" si="229"/>
        <v>#N/A</v>
      </c>
      <c r="AE505" s="324" t="e">
        <f t="shared" ca="1" si="208"/>
        <v>#N/A</v>
      </c>
      <c r="AG505" s="306">
        <f t="shared" ca="1" si="230"/>
        <v>3.3804587082948183</v>
      </c>
      <c r="AH505" s="304">
        <f t="shared" ca="1" si="231"/>
        <v>-6.3604126838992707</v>
      </c>
    </row>
    <row r="506" spans="1:34" x14ac:dyDescent="0.3">
      <c r="A506" s="347">
        <f t="shared" ca="1" si="209"/>
        <v>0.1</v>
      </c>
      <c r="B506" s="304">
        <f t="shared" ca="1" si="210"/>
        <v>32.200000000000188</v>
      </c>
      <c r="D506" s="306">
        <f t="shared" ca="1" si="211"/>
        <v>-0.75277757277407598</v>
      </c>
      <c r="E506" s="307">
        <f t="shared" ca="1" si="212"/>
        <v>-3.4505673091598297</v>
      </c>
      <c r="F506" s="304">
        <f t="shared" ca="1" si="213"/>
        <v>3.5317260410618116</v>
      </c>
      <c r="G506" s="306">
        <f t="shared" ca="1" si="214"/>
        <v>14.12573164198181</v>
      </c>
      <c r="H506" s="307">
        <f t="shared" ca="1" si="215"/>
        <v>-120.31457585961839</v>
      </c>
      <c r="I506" s="304">
        <f t="shared" ca="1" si="216"/>
        <v>121.14096523761545</v>
      </c>
      <c r="J506" s="306">
        <f t="shared" ca="1" si="217"/>
        <v>752.26893930711276</v>
      </c>
      <c r="K506" s="307">
        <f t="shared" ca="1" si="218"/>
        <v>105.91406569714735</v>
      </c>
      <c r="L506" s="304">
        <f t="shared" ca="1" si="203"/>
        <v>759.68832185228973</v>
      </c>
      <c r="M506" s="306">
        <f t="shared" ca="1" si="219"/>
        <v>-1.4539247128093837</v>
      </c>
      <c r="N506" s="304">
        <f t="shared" ca="1" si="220"/>
        <v>-83.303749773747995</v>
      </c>
      <c r="P506" s="310">
        <f t="shared" ca="1" si="221"/>
        <v>23</v>
      </c>
      <c r="Q506" s="304">
        <f t="shared" ca="1" si="222"/>
        <v>0</v>
      </c>
      <c r="R506" s="306">
        <f t="shared" ca="1" si="223"/>
        <v>0</v>
      </c>
      <c r="S506" s="307">
        <f t="shared" ca="1" si="224"/>
        <v>8.5499999999999989</v>
      </c>
      <c r="T506" s="304">
        <f t="shared" ca="1" si="204"/>
        <v>83.875499999999988</v>
      </c>
      <c r="U506" s="311">
        <f t="shared" ca="1" si="205"/>
        <v>0</v>
      </c>
      <c r="V506" s="306">
        <f t="shared" ca="1" si="206"/>
        <v>1.212093873966132</v>
      </c>
      <c r="W506" s="304">
        <f t="shared" ca="1" si="207"/>
        <v>55.12200128708907</v>
      </c>
      <c r="Y506" s="314" t="str">
        <f t="shared" ca="1" si="225"/>
        <v/>
      </c>
      <c r="Z506" s="315" t="str">
        <f t="shared" ca="1" si="226"/>
        <v/>
      </c>
      <c r="AA506" s="316" t="str">
        <f t="shared" ca="1" si="227"/>
        <v/>
      </c>
      <c r="AC506" s="310" t="e">
        <f t="shared" ca="1" si="228"/>
        <v>#N/A</v>
      </c>
      <c r="AD506" s="323" t="e">
        <f t="shared" ca="1" si="229"/>
        <v>#N/A</v>
      </c>
      <c r="AE506" s="324" t="e">
        <f t="shared" ca="1" si="208"/>
        <v>#N/A</v>
      </c>
      <c r="AG506" s="306">
        <f t="shared" ca="1" si="230"/>
        <v>3.3381541010789624</v>
      </c>
      <c r="AH506" s="304">
        <f t="shared" ca="1" si="231"/>
        <v>-6.4038315267813131</v>
      </c>
    </row>
    <row r="507" spans="1:34" x14ac:dyDescent="0.3">
      <c r="A507" s="347">
        <f t="shared" ca="1" si="209"/>
        <v>0.1</v>
      </c>
      <c r="B507" s="304">
        <f t="shared" ca="1" si="210"/>
        <v>32.300000000000189</v>
      </c>
      <c r="D507" s="306">
        <f t="shared" ca="1" si="211"/>
        <v>-0.75175925553772849</v>
      </c>
      <c r="E507" s="307">
        <f t="shared" ca="1" si="212"/>
        <v>-3.4069620355979922</v>
      </c>
      <c r="F507" s="304">
        <f t="shared" ca="1" si="213"/>
        <v>3.4889156324412109</v>
      </c>
      <c r="G507" s="306">
        <f t="shared" ca="1" si="214"/>
        <v>14.050555716428038</v>
      </c>
      <c r="H507" s="307">
        <f t="shared" ca="1" si="215"/>
        <v>-120.65527206317819</v>
      </c>
      <c r="I507" s="304">
        <f t="shared" ca="1" si="216"/>
        <v>121.47062522511357</v>
      </c>
      <c r="J507" s="306">
        <f t="shared" ca="1" si="217"/>
        <v>753.67775367503327</v>
      </c>
      <c r="K507" s="307">
        <f t="shared" ca="1" si="218"/>
        <v>93.865573301007515</v>
      </c>
      <c r="L507" s="304">
        <f t="shared" ca="1" si="203"/>
        <v>759.50042938484967</v>
      </c>
      <c r="M507" s="306">
        <f t="shared" ca="1" si="219"/>
        <v>-1.4548664239891811</v>
      </c>
      <c r="N507" s="304">
        <f t="shared" ca="1" si="220"/>
        <v>-83.357705849870669</v>
      </c>
      <c r="P507" s="310">
        <f t="shared" ca="1" si="221"/>
        <v>23</v>
      </c>
      <c r="Q507" s="304">
        <f t="shared" ca="1" si="222"/>
        <v>0</v>
      </c>
      <c r="R507" s="306">
        <f t="shared" ca="1" si="223"/>
        <v>0</v>
      </c>
      <c r="S507" s="307">
        <f t="shared" ca="1" si="224"/>
        <v>8.5499999999999989</v>
      </c>
      <c r="T507" s="304">
        <f t="shared" ca="1" si="204"/>
        <v>83.875499999999988</v>
      </c>
      <c r="U507" s="311">
        <f t="shared" ca="1" si="205"/>
        <v>0</v>
      </c>
      <c r="V507" s="306">
        <f t="shared" ca="1" si="206"/>
        <v>1.2135551809954856</v>
      </c>
      <c r="W507" s="304">
        <f t="shared" ca="1" si="207"/>
        <v>55.489233223810878</v>
      </c>
      <c r="Y507" s="314" t="str">
        <f t="shared" ca="1" si="225"/>
        <v/>
      </c>
      <c r="Z507" s="315" t="str">
        <f t="shared" ca="1" si="226"/>
        <v/>
      </c>
      <c r="AA507" s="316" t="str">
        <f t="shared" ca="1" si="227"/>
        <v/>
      </c>
      <c r="AC507" s="310" t="e">
        <f t="shared" ca="1" si="228"/>
        <v>#N/A</v>
      </c>
      <c r="AD507" s="323" t="e">
        <f t="shared" ca="1" si="229"/>
        <v>#N/A</v>
      </c>
      <c r="AE507" s="324" t="e">
        <f t="shared" ca="1" si="208"/>
        <v>#N/A</v>
      </c>
      <c r="AG507" s="306">
        <f t="shared" ca="1" si="230"/>
        <v>3.2960612621543621</v>
      </c>
      <c r="AH507" s="304">
        <f t="shared" ca="1" si="231"/>
        <v>-6.4470176943963828</v>
      </c>
    </row>
    <row r="508" spans="1:34" x14ac:dyDescent="0.3">
      <c r="A508" s="347">
        <f t="shared" ca="1" si="209"/>
        <v>0.1</v>
      </c>
      <c r="B508" s="304">
        <f t="shared" ca="1" si="210"/>
        <v>32.40000000000019</v>
      </c>
      <c r="D508" s="306">
        <f t="shared" ca="1" si="211"/>
        <v>-0.75069728196988594</v>
      </c>
      <c r="E508" s="307">
        <f t="shared" ca="1" si="212"/>
        <v>-3.3635941338417554</v>
      </c>
      <c r="F508" s="304">
        <f t="shared" ca="1" si="213"/>
        <v>3.4463476183304032</v>
      </c>
      <c r="G508" s="306">
        <f t="shared" ca="1" si="214"/>
        <v>13.97548598823105</v>
      </c>
      <c r="H508" s="307">
        <f t="shared" ca="1" si="215"/>
        <v>-120.99163147656236</v>
      </c>
      <c r="I508" s="304">
        <f t="shared" ca="1" si="216"/>
        <v>121.79609639051458</v>
      </c>
      <c r="J508" s="306">
        <f t="shared" ca="1" si="217"/>
        <v>755.07905576026621</v>
      </c>
      <c r="K508" s="307">
        <f t="shared" ca="1" si="218"/>
        <v>81.783228124020482</v>
      </c>
      <c r="L508" s="304">
        <f t="shared" ca="1" si="203"/>
        <v>759.49514603465423</v>
      </c>
      <c r="M508" s="306">
        <f t="shared" ca="1" si="219"/>
        <v>-1.4557980850311893</v>
      </c>
      <c r="N508" s="304">
        <f t="shared" ca="1" si="220"/>
        <v>-83.411086095514491</v>
      </c>
      <c r="P508" s="310">
        <f t="shared" ca="1" si="221"/>
        <v>23</v>
      </c>
      <c r="Q508" s="304">
        <f t="shared" ca="1" si="222"/>
        <v>0</v>
      </c>
      <c r="R508" s="306">
        <f t="shared" ca="1" si="223"/>
        <v>0</v>
      </c>
      <c r="S508" s="307">
        <f t="shared" ca="1" si="224"/>
        <v>8.5499999999999989</v>
      </c>
      <c r="T508" s="304">
        <f t="shared" ca="1" si="204"/>
        <v>83.875499999999988</v>
      </c>
      <c r="U508" s="311">
        <f t="shared" ca="1" si="205"/>
        <v>0</v>
      </c>
      <c r="V508" s="306">
        <f t="shared" ca="1" si="206"/>
        <v>1.2150223547566614</v>
      </c>
      <c r="W508" s="304">
        <f t="shared" ca="1" si="207"/>
        <v>55.854435640078002</v>
      </c>
      <c r="Y508" s="314" t="str">
        <f t="shared" ca="1" si="225"/>
        <v/>
      </c>
      <c r="Z508" s="315" t="str">
        <f t="shared" ca="1" si="226"/>
        <v/>
      </c>
      <c r="AA508" s="316" t="str">
        <f t="shared" ca="1" si="227"/>
        <v/>
      </c>
      <c r="AC508" s="310" t="e">
        <f t="shared" ca="1" si="228"/>
        <v>#N/A</v>
      </c>
      <c r="AD508" s="323" t="e">
        <f t="shared" ca="1" si="229"/>
        <v>#N/A</v>
      </c>
      <c r="AE508" s="324" t="e">
        <f t="shared" ca="1" si="208"/>
        <v>#N/A</v>
      </c>
      <c r="AG508" s="306">
        <f t="shared" ca="1" si="230"/>
        <v>3.2541830636809319</v>
      </c>
      <c r="AH508" s="304">
        <f t="shared" ca="1" si="231"/>
        <v>-6.4899687981065366</v>
      </c>
    </row>
    <row r="509" spans="1:34" x14ac:dyDescent="0.3">
      <c r="A509" s="347">
        <f t="shared" ca="1" si="209"/>
        <v>0.1</v>
      </c>
      <c r="B509" s="304">
        <f t="shared" ca="1" si="210"/>
        <v>32.500000000000192</v>
      </c>
      <c r="D509" s="306">
        <f t="shared" ca="1" si="211"/>
        <v>-0.74959227662659444</v>
      </c>
      <c r="E509" s="307">
        <f t="shared" ca="1" si="212"/>
        <v>-3.3204659281503792</v>
      </c>
      <c r="F509" s="304">
        <f t="shared" ca="1" si="213"/>
        <v>3.4040244654211578</v>
      </c>
      <c r="G509" s="306">
        <f t="shared" ca="1" si="214"/>
        <v>13.90052676056839</v>
      </c>
      <c r="H509" s="307">
        <f t="shared" ca="1" si="215"/>
        <v>-121.32367806937739</v>
      </c>
      <c r="I509" s="304">
        <f t="shared" ca="1" si="216"/>
        <v>122.11740049846787</v>
      </c>
      <c r="J509" s="306">
        <f t="shared" ca="1" si="217"/>
        <v>756.47285639770621</v>
      </c>
      <c r="K509" s="307">
        <f t="shared" ca="1" si="218"/>
        <v>69.667462646723493</v>
      </c>
      <c r="L509" s="304">
        <f t="shared" ca="1" si="203"/>
        <v>759.6740997415518</v>
      </c>
      <c r="M509" s="306">
        <f t="shared" ca="1" si="219"/>
        <v>-1.456719860333956</v>
      </c>
      <c r="N509" s="304">
        <f t="shared" ca="1" si="220"/>
        <v>-83.463899930022421</v>
      </c>
      <c r="P509" s="310">
        <f t="shared" ca="1" si="221"/>
        <v>23</v>
      </c>
      <c r="Q509" s="304">
        <f t="shared" ca="1" si="222"/>
        <v>0</v>
      </c>
      <c r="R509" s="306">
        <f t="shared" ca="1" si="223"/>
        <v>0</v>
      </c>
      <c r="S509" s="307">
        <f t="shared" ca="1" si="224"/>
        <v>8.5499999999999989</v>
      </c>
      <c r="T509" s="304">
        <f t="shared" ca="1" si="204"/>
        <v>83.875499999999988</v>
      </c>
      <c r="U509" s="311">
        <f t="shared" ca="1" si="205"/>
        <v>0</v>
      </c>
      <c r="V509" s="306">
        <f t="shared" ca="1" si="206"/>
        <v>1.2164953606579607</v>
      </c>
      <c r="W509" s="304">
        <f t="shared" ca="1" si="207"/>
        <v>56.217589504429164</v>
      </c>
      <c r="Y509" s="314" t="str">
        <f t="shared" ca="1" si="225"/>
        <v/>
      </c>
      <c r="Z509" s="315" t="str">
        <f t="shared" ca="1" si="226"/>
        <v/>
      </c>
      <c r="AA509" s="316" t="str">
        <f t="shared" ca="1" si="227"/>
        <v/>
      </c>
      <c r="AC509" s="310" t="e">
        <f t="shared" ca="1" si="228"/>
        <v>#N/A</v>
      </c>
      <c r="AD509" s="323" t="e">
        <f t="shared" ca="1" si="229"/>
        <v>#N/A</v>
      </c>
      <c r="AE509" s="324" t="e">
        <f t="shared" ca="1" si="208"/>
        <v>#N/A</v>
      </c>
      <c r="AG509" s="306">
        <f t="shared" ca="1" si="230"/>
        <v>3.212522282289199</v>
      </c>
      <c r="AH509" s="304">
        <f t="shared" ca="1" si="231"/>
        <v>-6.5326825310032755</v>
      </c>
    </row>
    <row r="510" spans="1:34" x14ac:dyDescent="0.3">
      <c r="A510" s="347">
        <f t="shared" ca="1" si="209"/>
        <v>0.1</v>
      </c>
      <c r="B510" s="304">
        <f t="shared" ca="1" si="210"/>
        <v>32.600000000000193</v>
      </c>
      <c r="D510" s="306">
        <f t="shared" ca="1" si="211"/>
        <v>-0.74844486399198562</v>
      </c>
      <c r="E510" s="307">
        <f t="shared" ca="1" si="212"/>
        <v>-3.2775796611372749</v>
      </c>
      <c r="F510" s="304">
        <f t="shared" ca="1" si="213"/>
        <v>3.361948564379996</v>
      </c>
      <c r="G510" s="306">
        <f t="shared" ca="1" si="214"/>
        <v>13.825682274169191</v>
      </c>
      <c r="H510" s="307">
        <f t="shared" ca="1" si="215"/>
        <v>-121.65143603549112</v>
      </c>
      <c r="I510" s="304">
        <f t="shared" ca="1" si="216"/>
        <v>122.43455958120428</v>
      </c>
      <c r="J510" s="306">
        <f t="shared" ca="1" si="217"/>
        <v>757.85916684944311</v>
      </c>
      <c r="K510" s="307">
        <f t="shared" ca="1" si="218"/>
        <v>57.518706941480069</v>
      </c>
      <c r="L510" s="304">
        <f t="shared" ca="1" si="203"/>
        <v>760.03876113389902</v>
      </c>
      <c r="M510" s="306">
        <f t="shared" ca="1" si="219"/>
        <v>-1.4576319105519209</v>
      </c>
      <c r="N510" s="304">
        <f t="shared" ca="1" si="220"/>
        <v>-83.516156558215798</v>
      </c>
      <c r="P510" s="310">
        <f t="shared" ca="1" si="221"/>
        <v>23</v>
      </c>
      <c r="Q510" s="304">
        <f t="shared" ca="1" si="222"/>
        <v>0</v>
      </c>
      <c r="R510" s="306">
        <f t="shared" ca="1" si="223"/>
        <v>0</v>
      </c>
      <c r="S510" s="307">
        <f t="shared" ca="1" si="224"/>
        <v>8.5499999999999989</v>
      </c>
      <c r="T510" s="304">
        <f t="shared" ca="1" si="204"/>
        <v>83.875499999999988</v>
      </c>
      <c r="U510" s="311">
        <f t="shared" ca="1" si="205"/>
        <v>0</v>
      </c>
      <c r="V510" s="306">
        <f t="shared" ca="1" si="206"/>
        <v>1.2179741642490478</v>
      </c>
      <c r="W510" s="304">
        <f t="shared" ca="1" si="207"/>
        <v>56.578676471679145</v>
      </c>
      <c r="Y510" s="314" t="str">
        <f t="shared" ca="1" si="225"/>
        <v/>
      </c>
      <c r="Z510" s="315" t="str">
        <f t="shared" ca="1" si="226"/>
        <v/>
      </c>
      <c r="AA510" s="316" t="str">
        <f t="shared" ca="1" si="227"/>
        <v/>
      </c>
      <c r="AC510" s="310" t="e">
        <f t="shared" ca="1" si="228"/>
        <v>#N/A</v>
      </c>
      <c r="AD510" s="323" t="e">
        <f t="shared" ca="1" si="229"/>
        <v>#N/A</v>
      </c>
      <c r="AE510" s="324" t="e">
        <f t="shared" ca="1" si="208"/>
        <v>#N/A</v>
      </c>
      <c r="AG510" s="306">
        <f t="shared" ca="1" si="230"/>
        <v>3.1710816002727285</v>
      </c>
      <c r="AH510" s="304">
        <f t="shared" ca="1" si="231"/>
        <v>-6.5751566671846984</v>
      </c>
    </row>
    <row r="511" spans="1:34" x14ac:dyDescent="0.3">
      <c r="A511" s="347">
        <f t="shared" ca="1" si="209"/>
        <v>0.1</v>
      </c>
      <c r="B511" s="304">
        <f t="shared" ca="1" si="210"/>
        <v>32.700000000000195</v>
      </c>
      <c r="D511" s="306">
        <f t="shared" ca="1" si="211"/>
        <v>-0.74725566829419032</v>
      </c>
      <c r="E511" s="307">
        <f t="shared" ca="1" si="212"/>
        <v>-3.2349374945142477</v>
      </c>
      <c r="F511" s="304">
        <f t="shared" ca="1" si="213"/>
        <v>3.3201222307637885</v>
      </c>
      <c r="G511" s="306">
        <f t="shared" ca="1" si="214"/>
        <v>13.750956707339771</v>
      </c>
      <c r="H511" s="307">
        <f t="shared" ca="1" si="215"/>
        <v>-121.97492978494255</v>
      </c>
      <c r="I511" s="304">
        <f t="shared" ca="1" si="216"/>
        <v>122.74759592924335</v>
      </c>
      <c r="J511" s="306">
        <f t="shared" ca="1" si="217"/>
        <v>759.23799879851856</v>
      </c>
      <c r="K511" s="307">
        <f t="shared" ca="1" si="218"/>
        <v>45.337388650458387</v>
      </c>
      <c r="L511" s="304">
        <f t="shared" ca="1" si="203"/>
        <v>760.59044013793778</v>
      </c>
      <c r="M511" s="306">
        <f t="shared" ca="1" si="219"/>
        <v>-1.4585343927005578</v>
      </c>
      <c r="N511" s="304">
        <f t="shared" ca="1" si="220"/>
        <v>-83.567864976418591</v>
      </c>
      <c r="P511" s="310">
        <f t="shared" ca="1" si="221"/>
        <v>23</v>
      </c>
      <c r="Q511" s="304">
        <f t="shared" ca="1" si="222"/>
        <v>0</v>
      </c>
      <c r="R511" s="306">
        <f t="shared" ca="1" si="223"/>
        <v>0</v>
      </c>
      <c r="S511" s="307">
        <f t="shared" ca="1" si="224"/>
        <v>8.5499999999999989</v>
      </c>
      <c r="T511" s="304">
        <f t="shared" ca="1" si="204"/>
        <v>83.875499999999988</v>
      </c>
      <c r="U511" s="311">
        <f t="shared" ca="1" si="205"/>
        <v>0</v>
      </c>
      <c r="V511" s="306">
        <f t="shared" ca="1" si="206"/>
        <v>1.2194587312231264</v>
      </c>
      <c r="W511" s="304">
        <f t="shared" ca="1" si="207"/>
        <v>56.937678876444281</v>
      </c>
      <c r="Y511" s="314" t="str">
        <f t="shared" ca="1" si="225"/>
        <v/>
      </c>
      <c r="Z511" s="315" t="str">
        <f t="shared" ca="1" si="226"/>
        <v/>
      </c>
      <c r="AA511" s="316" t="str">
        <f t="shared" ca="1" si="227"/>
        <v/>
      </c>
      <c r="AC511" s="310" t="e">
        <f t="shared" ca="1" si="228"/>
        <v>#N/A</v>
      </c>
      <c r="AD511" s="323" t="e">
        <f t="shared" ca="1" si="229"/>
        <v>#N/A</v>
      </c>
      <c r="AE511" s="324" t="e">
        <f t="shared" ca="1" si="208"/>
        <v>#N/A</v>
      </c>
      <c r="AG511" s="306">
        <f t="shared" ca="1" si="230"/>
        <v>3.1298636067796366</v>
      </c>
      <c r="AH511" s="304">
        <f t="shared" ca="1" si="231"/>
        <v>-6.6173890610151052</v>
      </c>
    </row>
    <row r="512" spans="1:34" x14ac:dyDescent="0.3">
      <c r="A512" s="347">
        <f t="shared" ca="1" si="209"/>
        <v>0.1</v>
      </c>
      <c r="B512" s="304">
        <f t="shared" ca="1" si="210"/>
        <v>32.800000000000196</v>
      </c>
      <c r="D512" s="306">
        <f t="shared" ca="1" si="211"/>
        <v>-0.74602531332520328</v>
      </c>
      <c r="E512" s="307">
        <f t="shared" ca="1" si="212"/>
        <v>-3.1925415098528545</v>
      </c>
      <c r="F512" s="304">
        <f t="shared" ca="1" si="213"/>
        <v>3.2785477059599897</v>
      </c>
      <c r="G512" s="306">
        <f t="shared" ca="1" si="214"/>
        <v>13.676354176007251</v>
      </c>
      <c r="H512" s="307">
        <f t="shared" ca="1" si="215"/>
        <v>-122.29418393592783</v>
      </c>
      <c r="I512" s="304">
        <f t="shared" ca="1" si="216"/>
        <v>123.05653208221878</v>
      </c>
      <c r="J512" s="306">
        <f t="shared" ca="1" si="217"/>
        <v>760.60936434268592</v>
      </c>
      <c r="K512" s="307">
        <f t="shared" ca="1" si="218"/>
        <v>33.123932964414863</v>
      </c>
      <c r="L512" s="304">
        <f t="shared" ca="1" si="203"/>
        <v>761.33028316284367</v>
      </c>
      <c r="M512" s="306">
        <f t="shared" ca="1" si="219"/>
        <v>-1.4594274602580395</v>
      </c>
      <c r="N512" s="304">
        <f t="shared" ca="1" si="220"/>
        <v>-83.619033978282346</v>
      </c>
      <c r="P512" s="310">
        <f t="shared" ca="1" si="221"/>
        <v>23</v>
      </c>
      <c r="Q512" s="304">
        <f t="shared" ca="1" si="222"/>
        <v>0</v>
      </c>
      <c r="R512" s="306">
        <f t="shared" ca="1" si="223"/>
        <v>0</v>
      </c>
      <c r="S512" s="307">
        <f t="shared" ca="1" si="224"/>
        <v>8.5499999999999989</v>
      </c>
      <c r="T512" s="304">
        <f t="shared" ca="1" si="204"/>
        <v>83.875499999999988</v>
      </c>
      <c r="U512" s="311">
        <f t="shared" ca="1" si="205"/>
        <v>0</v>
      </c>
      <c r="V512" s="306">
        <f t="shared" ca="1" si="206"/>
        <v>1.2209490274190697</v>
      </c>
      <c r="W512" s="304">
        <f t="shared" ca="1" si="207"/>
        <v>57.294579726530856</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3.0888707990033453</v>
      </c>
      <c r="AH512" s="304">
        <f t="shared" ca="1" si="231"/>
        <v>-6.6593776463677532</v>
      </c>
    </row>
    <row r="513" spans="1:34" x14ac:dyDescent="0.3">
      <c r="A513" s="347">
        <f t="shared" ca="1" si="209"/>
        <v>0.1</v>
      </c>
      <c r="B513" s="304">
        <f t="shared" ca="1" si="210"/>
        <v>32.900000000000198</v>
      </c>
      <c r="D513" s="306">
        <f t="shared" ca="1" si="211"/>
        <v>-0.74475442226466482</v>
      </c>
      <c r="E513" s="307">
        <f t="shared" ca="1" si="212"/>
        <v>-3.1503937093620422</v>
      </c>
      <c r="F513" s="304">
        <f t="shared" ca="1" si="213"/>
        <v>3.2372271581510468</v>
      </c>
      <c r="G513" s="306">
        <f t="shared" ca="1" si="214"/>
        <v>13.601878733780785</v>
      </c>
      <c r="H513" s="307">
        <f t="shared" ca="1" si="215"/>
        <v>-122.60922330686404</v>
      </c>
      <c r="I513" s="304">
        <f t="shared" ca="1" si="216"/>
        <v>123.36139081982226</v>
      </c>
      <c r="J513" s="306">
        <f t="shared" ca="1" si="217"/>
        <v>761.97327598817537</v>
      </c>
      <c r="K513" s="307">
        <f t="shared" ca="1" si="218"/>
        <v>20.878762602275266</v>
      </c>
      <c r="L513" s="304">
        <f t="shared" ca="1" si="203"/>
        <v>762.25927088357162</v>
      </c>
      <c r="M513" s="306">
        <f t="shared" ca="1" si="219"/>
        <v>-1.4603112632635558</v>
      </c>
      <c r="N513" s="304">
        <f t="shared" ca="1" si="220"/>
        <v>-83.66967216041941</v>
      </c>
      <c r="P513" s="310">
        <f t="shared" ca="1" si="221"/>
        <v>23</v>
      </c>
      <c r="Q513" s="304">
        <f t="shared" ca="1" si="222"/>
        <v>0</v>
      </c>
      <c r="R513" s="306">
        <f t="shared" ca="1" si="223"/>
        <v>0</v>
      </c>
      <c r="S513" s="307">
        <f t="shared" ca="1" si="224"/>
        <v>8.5499999999999989</v>
      </c>
      <c r="T513" s="304">
        <f t="shared" ca="1" si="204"/>
        <v>83.875499999999988</v>
      </c>
      <c r="U513" s="311">
        <f t="shared" ca="1" si="205"/>
        <v>0</v>
      </c>
      <c r="V513" s="306">
        <f t="shared" ca="1" si="206"/>
        <v>1.2224450188234932</v>
      </c>
      <c r="W513" s="304">
        <f t="shared" ca="1" si="207"/>
        <v>57.649362696191965</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3.0481055833725312</v>
      </c>
      <c r="AH513" s="304">
        <f t="shared" ca="1" si="231"/>
        <v>-6.7011204358515633</v>
      </c>
    </row>
    <row r="514" spans="1:34" x14ac:dyDescent="0.3">
      <c r="A514" s="347">
        <f t="shared" ca="1" si="209"/>
        <v>0.1</v>
      </c>
      <c r="B514" s="304">
        <f t="shared" ca="1" si="210"/>
        <v>33.000000000000199</v>
      </c>
      <c r="D514" s="306">
        <f t="shared" ca="1" si="211"/>
        <v>-0.74344361750756915</v>
      </c>
      <c r="E514" s="307">
        <f t="shared" ca="1" si="212"/>
        <v>-3.1084960166814124</v>
      </c>
      <c r="F514" s="304">
        <f t="shared" ca="1" si="213"/>
        <v>3.1961626833027363</v>
      </c>
      <c r="G514" s="306">
        <f t="shared" ca="1" si="214"/>
        <v>13.527534372030027</v>
      </c>
      <c r="H514" s="307">
        <f t="shared" ca="1" si="215"/>
        <v>-122.92007290853218</v>
      </c>
      <c r="I514" s="304">
        <f t="shared" ca="1" si="216"/>
        <v>123.66219515286521</v>
      </c>
      <c r="J514" s="306">
        <f t="shared" ca="1" si="217"/>
        <v>763.32974664346591</v>
      </c>
      <c r="K514" s="307">
        <f t="shared" ca="1" si="218"/>
        <v>8.602297791505455</v>
      </c>
      <c r="L514" s="304">
        <f t="shared" ca="1" si="203"/>
        <v>763.37821663843113</v>
      </c>
      <c r="M514" s="306">
        <f t="shared" ca="1" si="219"/>
        <v>-1.4611859484124146</v>
      </c>
      <c r="N514" s="304">
        <f t="shared" ca="1" si="220"/>
        <v>-83.719787927851783</v>
      </c>
      <c r="P514" s="310">
        <f t="shared" ca="1" si="221"/>
        <v>23</v>
      </c>
      <c r="Q514" s="304">
        <f t="shared" ca="1" si="222"/>
        <v>0</v>
      </c>
      <c r="R514" s="306">
        <f t="shared" ca="1" si="223"/>
        <v>0</v>
      </c>
      <c r="S514" s="307">
        <f t="shared" ca="1" si="224"/>
        <v>8.5499999999999989</v>
      </c>
      <c r="T514" s="304">
        <f t="shared" ca="1" si="204"/>
        <v>83.875499999999988</v>
      </c>
      <c r="U514" s="311">
        <f t="shared" ca="1" si="205"/>
        <v>0</v>
      </c>
      <c r="V514" s="306">
        <f t="shared" ca="1" si="206"/>
        <v>1.2239466715727809</v>
      </c>
      <c r="W514" s="304">
        <f t="shared" ca="1" si="207"/>
        <v>58.002012119259625</v>
      </c>
      <c r="Y514" s="314" t="str">
        <f t="shared" ca="1" si="225"/>
        <v/>
      </c>
      <c r="Z514" s="315" t="str">
        <f t="shared" ca="1" si="226"/>
        <v/>
      </c>
      <c r="AA514" s="316" t="str">
        <f t="shared" ca="1" si="227"/>
        <v/>
      </c>
      <c r="AC514" s="310">
        <f t="shared" ca="1" si="228"/>
        <v>33.000000000000199</v>
      </c>
      <c r="AD514" s="323">
        <f t="shared" ca="1" si="229"/>
        <v>763.32974664346591</v>
      </c>
      <c r="AE514" s="324" t="e">
        <f t="shared" ca="1" si="208"/>
        <v>#N/A</v>
      </c>
      <c r="AG514" s="306">
        <f t="shared" ca="1" si="230"/>
        <v>3.0075702767403492</v>
      </c>
      <c r="AH514" s="304">
        <f t="shared" ca="1" si="231"/>
        <v>-6.7426155200224525</v>
      </c>
    </row>
    <row r="515" spans="1:34" x14ac:dyDescent="0.3">
      <c r="A515" s="347">
        <f t="shared" ca="1" si="209"/>
        <v>0.1</v>
      </c>
      <c r="B515" s="304">
        <f t="shared" ca="1" si="210"/>
        <v>33.1000000000002</v>
      </c>
      <c r="D515" s="306">
        <f t="shared" ca="1" si="211"/>
        <v>-0.7420935204958794</v>
      </c>
      <c r="E515" s="307">
        <f t="shared" ca="1" si="212"/>
        <v>-3.0668502776892934</v>
      </c>
      <c r="F515" s="304">
        <f t="shared" ca="1" si="213"/>
        <v>3.1553563061760337</v>
      </c>
      <c r="G515" s="306">
        <f t="shared" ca="1" si="214"/>
        <v>13.45332501998044</v>
      </c>
      <c r="H515" s="307">
        <f t="shared" ca="1" si="215"/>
        <v>-123.22675793630111</v>
      </c>
      <c r="I515" s="304">
        <f t="shared" ca="1" si="216"/>
        <v>123.95896831445872</v>
      </c>
      <c r="J515" s="306">
        <f t="shared" ca="1" si="217"/>
        <v>764.67878961306644</v>
      </c>
      <c r="K515" s="307">
        <f t="shared" ca="1" si="218"/>
        <v>-3.7050437507362108</v>
      </c>
      <c r="L515" s="304">
        <f t="shared" ca="1" si="203"/>
        <v>764.6877654528671</v>
      </c>
      <c r="M515" s="306">
        <f t="shared" ca="1" si="219"/>
        <v>-1.4620516591480435</v>
      </c>
      <c r="N515" s="304">
        <f t="shared" ca="1" si="220"/>
        <v>-83.769389499282482</v>
      </c>
      <c r="P515" s="310">
        <f t="shared" ca="1" si="221"/>
        <v>23</v>
      </c>
      <c r="Q515" s="304">
        <f t="shared" ca="1" si="222"/>
        <v>0</v>
      </c>
      <c r="R515" s="306">
        <f t="shared" ca="1" si="223"/>
        <v>0</v>
      </c>
      <c r="S515" s="307">
        <f t="shared" ca="1" si="224"/>
        <v>8.5499999999999989</v>
      </c>
      <c r="T515" s="304">
        <f t="shared" ca="1" si="204"/>
        <v>83.875499999999988</v>
      </c>
      <c r="U515" s="311">
        <f t="shared" ca="1" si="205"/>
        <v>0</v>
      </c>
      <c r="V515" s="306">
        <f t="shared" ca="1" si="206"/>
        <v>1.225453951955058</v>
      </c>
      <c r="W515" s="304">
        <f t="shared" ca="1" si="207"/>
        <v>58.352512982157904</v>
      </c>
      <c r="Y515" s="314" t="str">
        <f t="shared" ca="1" si="225"/>
        <v>Impact balistique</v>
      </c>
      <c r="Z515" s="315" t="str">
        <f t="shared" ca="1" si="226"/>
        <v/>
      </c>
      <c r="AA515" s="316" t="str">
        <f t="shared" ca="1" si="227"/>
        <v/>
      </c>
      <c r="AC515" s="310" t="e">
        <f t="shared" ca="1" si="228"/>
        <v>#N/A</v>
      </c>
      <c r="AD515" s="323" t="e">
        <f t="shared" ca="1" si="229"/>
        <v>#N/A</v>
      </c>
      <c r="AE515" s="324" t="e">
        <f t="shared" ca="1" si="208"/>
        <v>#N/A</v>
      </c>
      <c r="AG515" s="306">
        <f t="shared" ca="1" si="230"/>
        <v>2.9672671075728454</v>
      </c>
      <c r="AH515" s="304">
        <f t="shared" ca="1" si="231"/>
        <v>-6.7838610665800738</v>
      </c>
    </row>
    <row r="516" spans="1:34" x14ac:dyDescent="0.3">
      <c r="A516" s="347">
        <f t="shared" ca="1" si="209"/>
        <v>1E-4</v>
      </c>
      <c r="B516" s="304">
        <f t="shared" ca="1" si="210"/>
        <v>33.100100000000204</v>
      </c>
      <c r="D516" s="306">
        <f t="shared" ca="1" si="211"/>
        <v>-0.74070475155404736</v>
      </c>
      <c r="E516" s="307">
        <f t="shared" ca="1" si="212"/>
        <v>-3.0254582613249541</v>
      </c>
      <c r="F516" s="304">
        <f t="shared" ca="1" si="213"/>
        <v>3.1148099813622911</v>
      </c>
      <c r="G516" s="306">
        <f t="shared" ca="1" si="214"/>
        <v>13.453250949505284</v>
      </c>
      <c r="H516" s="307">
        <f t="shared" ca="1" si="215"/>
        <v>-123.22706048212724</v>
      </c>
      <c r="I516" s="304">
        <f t="shared" ca="1" si="216"/>
        <v>123.95926103432615</v>
      </c>
      <c r="J516" s="306">
        <f t="shared" ca="1" si="217"/>
        <v>764.67878961306644</v>
      </c>
      <c r="K516" s="307">
        <f t="shared" ca="1" si="218"/>
        <v>-3.7173664416571324</v>
      </c>
      <c r="L516" s="304">
        <f t="shared" ref="L516:L579" ca="1" si="232">SQRT(pos_x^2+pos_z^2)</f>
        <v>764.68782525770996</v>
      </c>
      <c r="M516" s="306">
        <f t="shared" ca="1" si="219"/>
        <v>-1.4620525180462784</v>
      </c>
      <c r="N516" s="304">
        <f t="shared" ca="1" si="220"/>
        <v>-83.769438710526387</v>
      </c>
      <c r="P516" s="310">
        <f t="shared" ca="1" si="221"/>
        <v>23</v>
      </c>
      <c r="Q516" s="304">
        <f t="shared" ca="1" si="222"/>
        <v>0</v>
      </c>
      <c r="R516" s="306">
        <f t="shared" ca="1" si="223"/>
        <v>0</v>
      </c>
      <c r="S516" s="307">
        <f t="shared" ca="1" si="224"/>
        <v>8.5499999999999989</v>
      </c>
      <c r="T516" s="304">
        <f t="shared" ref="T516:T579" ca="1" si="233">m*g</f>
        <v>83.875499999999988</v>
      </c>
      <c r="U516" s="311">
        <f t="shared" ref="U516:U579" ca="1" si="234">IF(pos_xz&lt;L_rampe,Poids*COS(Beta),0)</f>
        <v>0</v>
      </c>
      <c r="V516" s="306">
        <f t="shared" ref="V516:V579" ca="1" si="235">Rho_moyen*(20000-Alt_rampe-pos_z)/(20000+Alt_rampe+pos_z)</f>
        <v>1.2254554620450695</v>
      </c>
      <c r="W516" s="304">
        <f t="shared" ref="W516:W579" ca="1" si="236">1/2*Rho*Sref*Cx*vit_xz^2</f>
        <v>58.35286047909095</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2.9271982171365689</v>
      </c>
      <c r="AH516" s="304">
        <f t="shared" ca="1" si="231"/>
        <v>-6.8248553195506325</v>
      </c>
    </row>
    <row r="517" spans="1:34" x14ac:dyDescent="0.3">
      <c r="A517" s="347">
        <f t="shared" ref="A517:A580" ca="1" si="238">IF(B516+0.01&lt;=T_ini+ROUNDUP(Temps_fin_propu,0), 0.01, IF(K516&gt;0, 0.1, 0.0001))</f>
        <v>1E-4</v>
      </c>
      <c r="B517" s="304">
        <f t="shared" ref="B517:B580" ca="1" si="239">B516+pas</f>
        <v>33.100200000000207</v>
      </c>
      <c r="D517" s="306">
        <f t="shared" ref="D517:D580" ca="1" si="240">IF(AND(L516&lt;L_rampe,Poussee&lt;Poids*SIN(M516)),0,(-W516+Poussee)/m*COS(M516)-U516/m*SIN(M516))</f>
        <v>-0.74070333528291565</v>
      </c>
      <c r="E517" s="307">
        <f t="shared" ref="E517:E580" ca="1" si="241">IF(AND(L516&lt;L_rampe,Poussee&lt;Poids*SIN(M516)),0,(-W516+Poussee)/m*SIN(M516)+U516/m*COS(M516)-Poids/m)</f>
        <v>-3.0254172222902245</v>
      </c>
      <c r="F517" s="304">
        <f t="shared" ref="F517:F580" ca="1" si="242">SQRT(acc_x^2+acc_z^2)</f>
        <v>3.1147697827976839</v>
      </c>
      <c r="G517" s="306">
        <f t="shared" ref="G517:G580" ca="1" si="243">G516+acc_x*pas</f>
        <v>13.453176879171755</v>
      </c>
      <c r="H517" s="307">
        <f t="shared" ref="H517:H580" ca="1" si="244">H516+acc_z*pas</f>
        <v>-123.22736302384948</v>
      </c>
      <c r="I517" s="304">
        <f t="shared" ref="I517:I580" ca="1" si="245">SQRT(vit_x^2+vit_z^2)</f>
        <v>123.95955375022075</v>
      </c>
      <c r="J517" s="306">
        <f t="shared" ref="J517:J580" ca="1" si="246">J516+0.5*(vit_x+G516)*pas*(K516&gt;=0)</f>
        <v>764.67878961306644</v>
      </c>
      <c r="K517" s="307">
        <f t="shared" ref="K517:K580" ca="1" si="247">K516+0.5*(vit_z+H516)*pas</f>
        <v>-3.7296891628324311</v>
      </c>
      <c r="L517" s="304">
        <f t="shared" ca="1" si="232"/>
        <v>764.68788526127162</v>
      </c>
      <c r="M517" s="306">
        <f t="shared" ref="M517:M580" ca="1" si="248">IF(AND(L516&gt;L_rampe,G517&gt;0),ATAN2(G517,H517),$M$4)</f>
        <v>-1.462053376935728</v>
      </c>
      <c r="N517" s="304">
        <f t="shared" ref="N517:N580" ca="1" si="249">DEGREES(Beta)</f>
        <v>-83.769487921266915</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8.5499999999999989</v>
      </c>
      <c r="T517" s="304">
        <f t="shared" ca="1" si="233"/>
        <v>83.875499999999988</v>
      </c>
      <c r="U517" s="311">
        <f t="shared" ca="1" si="234"/>
        <v>0</v>
      </c>
      <c r="V517" s="306">
        <f t="shared" ca="1" si="235"/>
        <v>1.225456972140649</v>
      </c>
      <c r="W517" s="304">
        <f t="shared" ca="1" si="236"/>
        <v>58.35320797387876</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2.9271584886719522</v>
      </c>
      <c r="AH517" s="304">
        <f t="shared" ref="AH517:AH580" ca="1" si="260">IF(AND(L516&lt;L_rampe,Poussee&lt;Poids*SIN(M516)), g*SIN(M516), (-W516+Poussee)/m)</f>
        <v>-6.8248959624667789</v>
      </c>
    </row>
    <row r="518" spans="1:34" x14ac:dyDescent="0.3">
      <c r="A518" s="347">
        <f t="shared" ca="1" si="238"/>
        <v>1E-4</v>
      </c>
      <c r="B518" s="304">
        <f t="shared" ca="1" si="239"/>
        <v>33.10030000000021</v>
      </c>
      <c r="D518" s="306">
        <f t="shared" ca="1" si="240"/>
        <v>-0.74070191897420901</v>
      </c>
      <c r="E518" s="307">
        <f t="shared" ca="1" si="241"/>
        <v>-3.0253761835088531</v>
      </c>
      <c r="F518" s="304">
        <f t="shared" ca="1" si="242"/>
        <v>3.1147295844927969</v>
      </c>
      <c r="G518" s="306">
        <f t="shared" ca="1" si="243"/>
        <v>13.453102808979857</v>
      </c>
      <c r="H518" s="307">
        <f t="shared" ca="1" si="244"/>
        <v>-123.22766556146783</v>
      </c>
      <c r="I518" s="304">
        <f t="shared" ca="1" si="245"/>
        <v>123.95984646214251</v>
      </c>
      <c r="J518" s="306">
        <f t="shared" ca="1" si="246"/>
        <v>764.67878961306644</v>
      </c>
      <c r="K518" s="307">
        <f t="shared" ca="1" si="247"/>
        <v>-3.7420119142616972</v>
      </c>
      <c r="L518" s="304">
        <f t="shared" ca="1" si="232"/>
        <v>764.68794546355366</v>
      </c>
      <c r="M518" s="306">
        <f t="shared" ca="1" si="248"/>
        <v>-1.4620542358163926</v>
      </c>
      <c r="N518" s="304">
        <f t="shared" ca="1" si="249"/>
        <v>-83.769537131504094</v>
      </c>
      <c r="P518" s="310">
        <f t="shared" ca="1" si="250"/>
        <v>23</v>
      </c>
      <c r="Q518" s="304">
        <f t="shared" ca="1" si="251"/>
        <v>0</v>
      </c>
      <c r="R518" s="306">
        <f t="shared" ca="1" si="252"/>
        <v>0</v>
      </c>
      <c r="S518" s="307">
        <f t="shared" ca="1" si="253"/>
        <v>8.5499999999999989</v>
      </c>
      <c r="T518" s="304">
        <f t="shared" ca="1" si="233"/>
        <v>83.875499999999988</v>
      </c>
      <c r="U518" s="311">
        <f t="shared" ca="1" si="234"/>
        <v>0</v>
      </c>
      <c r="V518" s="306">
        <f t="shared" ca="1" si="235"/>
        <v>1.2254584822417978</v>
      </c>
      <c r="W518" s="304">
        <f t="shared" ca="1" si="236"/>
        <v>58.353555466521328</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2.9271187604416946</v>
      </c>
      <c r="AH518" s="304">
        <f t="shared" ca="1" si="260"/>
        <v>-6.8249366051320193</v>
      </c>
    </row>
    <row r="519" spans="1:34" x14ac:dyDescent="0.3">
      <c r="A519" s="347">
        <f t="shared" ca="1" si="238"/>
        <v>1E-4</v>
      </c>
      <c r="B519" s="304">
        <f t="shared" ca="1" si="239"/>
        <v>33.100400000000214</v>
      </c>
      <c r="D519" s="306">
        <f t="shared" ca="1" si="240"/>
        <v>-0.74070050262792608</v>
      </c>
      <c r="E519" s="307">
        <f t="shared" ca="1" si="241"/>
        <v>-3.0253351449808417</v>
      </c>
      <c r="F519" s="304">
        <f t="shared" ca="1" si="242"/>
        <v>3.1146893864476297</v>
      </c>
      <c r="G519" s="306">
        <f t="shared" ca="1" si="243"/>
        <v>13.453028738929595</v>
      </c>
      <c r="H519" s="307">
        <f t="shared" ca="1" si="244"/>
        <v>-123.22796809498233</v>
      </c>
      <c r="I519" s="304">
        <f t="shared" ca="1" si="245"/>
        <v>123.96013917009148</v>
      </c>
      <c r="J519" s="306">
        <f t="shared" ca="1" si="246"/>
        <v>764.67878961306644</v>
      </c>
      <c r="K519" s="307">
        <f t="shared" ca="1" si="247"/>
        <v>-3.7543346959445199</v>
      </c>
      <c r="L519" s="304">
        <f t="shared" ca="1" si="232"/>
        <v>764.68800586455745</v>
      </c>
      <c r="M519" s="306">
        <f t="shared" ca="1" si="248"/>
        <v>-1.4620550946882722</v>
      </c>
      <c r="N519" s="304">
        <f t="shared" ca="1" si="249"/>
        <v>-83.76958634123794</v>
      </c>
      <c r="P519" s="310">
        <f t="shared" ca="1" si="250"/>
        <v>23</v>
      </c>
      <c r="Q519" s="304">
        <f t="shared" ca="1" si="251"/>
        <v>0</v>
      </c>
      <c r="R519" s="306">
        <f t="shared" ca="1" si="252"/>
        <v>0</v>
      </c>
      <c r="S519" s="307">
        <f t="shared" ca="1" si="253"/>
        <v>8.5499999999999989</v>
      </c>
      <c r="T519" s="304">
        <f t="shared" ca="1" si="233"/>
        <v>83.875499999999988</v>
      </c>
      <c r="U519" s="311">
        <f t="shared" ca="1" si="234"/>
        <v>0</v>
      </c>
      <c r="V519" s="306">
        <f t="shared" ca="1" si="235"/>
        <v>1.2254599923485148</v>
      </c>
      <c r="W519" s="304">
        <f t="shared" ca="1" si="236"/>
        <v>58.35390295701864</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2.9270790324457936</v>
      </c>
      <c r="AH519" s="304">
        <f t="shared" ca="1" si="260"/>
        <v>-6.8249772475463546</v>
      </c>
    </row>
    <row r="520" spans="1:34" x14ac:dyDescent="0.3">
      <c r="A520" s="347">
        <f t="shared" ca="1" si="238"/>
        <v>1E-4</v>
      </c>
      <c r="B520" s="304">
        <f t="shared" ca="1" si="239"/>
        <v>33.100500000000217</v>
      </c>
      <c r="D520" s="306">
        <f t="shared" ca="1" si="240"/>
        <v>-0.74069908624406833</v>
      </c>
      <c r="E520" s="307">
        <f t="shared" ca="1" si="241"/>
        <v>-3.0252941067061885</v>
      </c>
      <c r="F520" s="304">
        <f t="shared" ca="1" si="242"/>
        <v>3.1146491886621828</v>
      </c>
      <c r="G520" s="306">
        <f t="shared" ca="1" si="243"/>
        <v>13.45295466902097</v>
      </c>
      <c r="H520" s="307">
        <f t="shared" ca="1" si="244"/>
        <v>-123.22827062439301</v>
      </c>
      <c r="I520" s="304">
        <f t="shared" ca="1" si="245"/>
        <v>123.96043187406767</v>
      </c>
      <c r="J520" s="306">
        <f t="shared" ca="1" si="246"/>
        <v>764.67878961306644</v>
      </c>
      <c r="K520" s="307">
        <f t="shared" ca="1" si="247"/>
        <v>-3.7666575078804887</v>
      </c>
      <c r="L520" s="304">
        <f t="shared" ca="1" si="232"/>
        <v>764.68806646428447</v>
      </c>
      <c r="M520" s="306">
        <f t="shared" ca="1" si="248"/>
        <v>-1.4620559535513669</v>
      </c>
      <c r="N520" s="304">
        <f t="shared" ca="1" si="249"/>
        <v>-83.76963555046845</v>
      </c>
      <c r="P520" s="310">
        <f t="shared" ca="1" si="250"/>
        <v>23</v>
      </c>
      <c r="Q520" s="304">
        <f t="shared" ca="1" si="251"/>
        <v>0</v>
      </c>
      <c r="R520" s="306">
        <f t="shared" ca="1" si="252"/>
        <v>0</v>
      </c>
      <c r="S520" s="307">
        <f t="shared" ca="1" si="253"/>
        <v>8.5499999999999989</v>
      </c>
      <c r="T520" s="304">
        <f t="shared" ca="1" si="233"/>
        <v>83.875499999999988</v>
      </c>
      <c r="U520" s="311">
        <f t="shared" ca="1" si="234"/>
        <v>0</v>
      </c>
      <c r="V520" s="306">
        <f t="shared" ca="1" si="235"/>
        <v>1.2254615024608009</v>
      </c>
      <c r="W520" s="304">
        <f t="shared" ca="1" si="236"/>
        <v>58.354250445370695</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2.9270393046842527</v>
      </c>
      <c r="AH520" s="304">
        <f t="shared" ca="1" si="260"/>
        <v>-6.8250178897097831</v>
      </c>
    </row>
    <row r="521" spans="1:34" x14ac:dyDescent="0.3">
      <c r="A521" s="347">
        <f t="shared" ca="1" si="238"/>
        <v>1E-4</v>
      </c>
      <c r="B521" s="304">
        <f t="shared" ca="1" si="239"/>
        <v>33.10060000000022</v>
      </c>
      <c r="D521" s="306">
        <f t="shared" ca="1" si="240"/>
        <v>-0.74069766982263763</v>
      </c>
      <c r="E521" s="307">
        <f t="shared" ca="1" si="241"/>
        <v>-3.0252530686848962</v>
      </c>
      <c r="F521" s="304">
        <f t="shared" ca="1" si="242"/>
        <v>3.1146089911364583</v>
      </c>
      <c r="G521" s="306">
        <f t="shared" ca="1" si="243"/>
        <v>13.452880599253987</v>
      </c>
      <c r="H521" s="307">
        <f t="shared" ca="1" si="244"/>
        <v>-123.22857314969987</v>
      </c>
      <c r="I521" s="304">
        <f t="shared" ca="1" si="245"/>
        <v>123.96072457407109</v>
      </c>
      <c r="J521" s="306">
        <f t="shared" ca="1" si="246"/>
        <v>764.67878961306644</v>
      </c>
      <c r="K521" s="307">
        <f t="shared" ca="1" si="247"/>
        <v>-3.7789803500691934</v>
      </c>
      <c r="L521" s="304">
        <f t="shared" ca="1" si="232"/>
        <v>764.68812726273609</v>
      </c>
      <c r="M521" s="306">
        <f t="shared" ca="1" si="248"/>
        <v>-1.462056812405677</v>
      </c>
      <c r="N521" s="304">
        <f t="shared" ca="1" si="249"/>
        <v>-83.769684759195627</v>
      </c>
      <c r="P521" s="310">
        <f t="shared" ca="1" si="250"/>
        <v>23</v>
      </c>
      <c r="Q521" s="304">
        <f t="shared" ca="1" si="251"/>
        <v>0</v>
      </c>
      <c r="R521" s="306">
        <f t="shared" ca="1" si="252"/>
        <v>0</v>
      </c>
      <c r="S521" s="307">
        <f t="shared" ca="1" si="253"/>
        <v>8.5499999999999989</v>
      </c>
      <c r="T521" s="304">
        <f t="shared" ca="1" si="233"/>
        <v>83.875499999999988</v>
      </c>
      <c r="U521" s="311">
        <f t="shared" ca="1" si="234"/>
        <v>0</v>
      </c>
      <c r="V521" s="306">
        <f t="shared" ca="1" si="235"/>
        <v>1.2254630125786556</v>
      </c>
      <c r="W521" s="304">
        <f t="shared" ca="1" si="236"/>
        <v>58.354597931577466</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2.9269995771570736</v>
      </c>
      <c r="AH521" s="304">
        <f t="shared" ca="1" si="260"/>
        <v>-6.8250585316223047</v>
      </c>
    </row>
    <row r="522" spans="1:34" x14ac:dyDescent="0.3">
      <c r="A522" s="347">
        <f t="shared" ca="1" si="238"/>
        <v>1E-4</v>
      </c>
      <c r="B522" s="304">
        <f t="shared" ca="1" si="239"/>
        <v>33.100700000000224</v>
      </c>
      <c r="D522" s="306">
        <f t="shared" ca="1" si="240"/>
        <v>-0.7406962533636321</v>
      </c>
      <c r="E522" s="307">
        <f t="shared" ca="1" si="241"/>
        <v>-3.0252120309169683</v>
      </c>
      <c r="F522" s="304">
        <f t="shared" ca="1" si="242"/>
        <v>3.1145687938704598</v>
      </c>
      <c r="G522" s="306">
        <f t="shared" ca="1" si="243"/>
        <v>13.452806529628651</v>
      </c>
      <c r="H522" s="307">
        <f t="shared" ca="1" si="244"/>
        <v>-123.22887567090297</v>
      </c>
      <c r="I522" s="304">
        <f t="shared" ca="1" si="245"/>
        <v>123.96101727010182</v>
      </c>
      <c r="J522" s="306">
        <f t="shared" ca="1" si="246"/>
        <v>764.67878961306644</v>
      </c>
      <c r="K522" s="307">
        <f t="shared" ca="1" si="247"/>
        <v>-3.7913032225102237</v>
      </c>
      <c r="L522" s="304">
        <f t="shared" ca="1" si="232"/>
        <v>764.68818825991377</v>
      </c>
      <c r="M522" s="306">
        <f t="shared" ca="1" si="248"/>
        <v>-1.4620576712512023</v>
      </c>
      <c r="N522" s="304">
        <f t="shared" ca="1" si="249"/>
        <v>-83.769733967419484</v>
      </c>
      <c r="P522" s="310">
        <f t="shared" ca="1" si="250"/>
        <v>23</v>
      </c>
      <c r="Q522" s="304">
        <f t="shared" ca="1" si="251"/>
        <v>0</v>
      </c>
      <c r="R522" s="306">
        <f t="shared" ca="1" si="252"/>
        <v>0</v>
      </c>
      <c r="S522" s="307">
        <f t="shared" ca="1" si="253"/>
        <v>8.5499999999999989</v>
      </c>
      <c r="T522" s="304">
        <f t="shared" ca="1" si="233"/>
        <v>83.875499999999988</v>
      </c>
      <c r="U522" s="311">
        <f t="shared" ca="1" si="234"/>
        <v>0</v>
      </c>
      <c r="V522" s="306">
        <f t="shared" ca="1" si="235"/>
        <v>1.2254645227020786</v>
      </c>
      <c r="W522" s="304">
        <f t="shared" ca="1" si="236"/>
        <v>58.354945415638959</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2.9269598498642591</v>
      </c>
      <c r="AH522" s="304">
        <f t="shared" ca="1" si="260"/>
        <v>-6.825099173283915</v>
      </c>
    </row>
    <row r="523" spans="1:34" x14ac:dyDescent="0.3">
      <c r="A523" s="347">
        <f t="shared" ca="1" si="238"/>
        <v>1E-4</v>
      </c>
      <c r="B523" s="304">
        <f t="shared" ca="1" si="239"/>
        <v>33.100800000000227</v>
      </c>
      <c r="D523" s="306">
        <f t="shared" ca="1" si="240"/>
        <v>-0.74069483686705528</v>
      </c>
      <c r="E523" s="307">
        <f t="shared" ca="1" si="241"/>
        <v>-3.0251709934024031</v>
      </c>
      <c r="F523" s="304">
        <f t="shared" ca="1" si="242"/>
        <v>3.114528596864186</v>
      </c>
      <c r="G523" s="306">
        <f t="shared" ca="1" si="243"/>
        <v>13.452732460144965</v>
      </c>
      <c r="H523" s="307">
        <f t="shared" ca="1" si="244"/>
        <v>-123.22917818800231</v>
      </c>
      <c r="I523" s="304">
        <f t="shared" ca="1" si="245"/>
        <v>123.9613099621598</v>
      </c>
      <c r="J523" s="306">
        <f t="shared" ca="1" si="246"/>
        <v>764.67878961306644</v>
      </c>
      <c r="K523" s="307">
        <f t="shared" ca="1" si="247"/>
        <v>-3.8036261252031691</v>
      </c>
      <c r="L523" s="304">
        <f t="shared" ca="1" si="232"/>
        <v>764.68824945581889</v>
      </c>
      <c r="M523" s="306">
        <f t="shared" ca="1" si="248"/>
        <v>-1.4620585300879434</v>
      </c>
      <c r="N523" s="304">
        <f t="shared" ca="1" si="249"/>
        <v>-83.769783175140049</v>
      </c>
      <c r="P523" s="310">
        <f t="shared" ca="1" si="250"/>
        <v>23</v>
      </c>
      <c r="Q523" s="304">
        <f t="shared" ca="1" si="251"/>
        <v>0</v>
      </c>
      <c r="R523" s="306">
        <f t="shared" ca="1" si="252"/>
        <v>0</v>
      </c>
      <c r="S523" s="307">
        <f t="shared" ca="1" si="253"/>
        <v>8.5499999999999989</v>
      </c>
      <c r="T523" s="304">
        <f t="shared" ca="1" si="233"/>
        <v>83.875499999999988</v>
      </c>
      <c r="U523" s="311">
        <f t="shared" ca="1" si="234"/>
        <v>0</v>
      </c>
      <c r="V523" s="306">
        <f t="shared" ca="1" si="235"/>
        <v>1.2254660328310698</v>
      </c>
      <c r="W523" s="304">
        <f t="shared" ca="1" si="236"/>
        <v>58.355292897555081</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2.9269201228058073</v>
      </c>
      <c r="AH523" s="304">
        <f t="shared" ca="1" si="260"/>
        <v>-6.8251398146946158</v>
      </c>
    </row>
    <row r="524" spans="1:34" x14ac:dyDescent="0.3">
      <c r="A524" s="347">
        <f t="shared" ca="1" si="238"/>
        <v>1E-4</v>
      </c>
      <c r="B524" s="304">
        <f t="shared" ca="1" si="239"/>
        <v>33.10090000000023</v>
      </c>
      <c r="D524" s="306">
        <f t="shared" ca="1" si="240"/>
        <v>-0.74069342033290453</v>
      </c>
      <c r="E524" s="307">
        <f t="shared" ca="1" si="241"/>
        <v>-3.0251299561412104</v>
      </c>
      <c r="F524" s="304">
        <f t="shared" ca="1" si="242"/>
        <v>3.1144884001176467</v>
      </c>
      <c r="G524" s="306">
        <f t="shared" ca="1" si="243"/>
        <v>13.452658390802931</v>
      </c>
      <c r="H524" s="307">
        <f t="shared" ca="1" si="244"/>
        <v>-123.22948070099793</v>
      </c>
      <c r="I524" s="304">
        <f t="shared" ca="1" si="245"/>
        <v>123.96160265024513</v>
      </c>
      <c r="J524" s="306">
        <f t="shared" ca="1" si="246"/>
        <v>764.67878961306644</v>
      </c>
      <c r="K524" s="307">
        <f t="shared" ca="1" si="247"/>
        <v>-3.815949058147619</v>
      </c>
      <c r="L524" s="304">
        <f t="shared" ca="1" si="232"/>
        <v>764.68831085045281</v>
      </c>
      <c r="M524" s="306">
        <f t="shared" ca="1" si="248"/>
        <v>-1.4620593889159001</v>
      </c>
      <c r="N524" s="304">
        <f t="shared" ca="1" si="249"/>
        <v>-83.769832382357293</v>
      </c>
      <c r="P524" s="310">
        <f t="shared" ca="1" si="250"/>
        <v>23</v>
      </c>
      <c r="Q524" s="304">
        <f t="shared" ca="1" si="251"/>
        <v>0</v>
      </c>
      <c r="R524" s="306">
        <f t="shared" ca="1" si="252"/>
        <v>0</v>
      </c>
      <c r="S524" s="307">
        <f t="shared" ca="1" si="253"/>
        <v>8.5499999999999989</v>
      </c>
      <c r="T524" s="304">
        <f t="shared" ca="1" si="233"/>
        <v>83.875499999999988</v>
      </c>
      <c r="U524" s="311">
        <f t="shared" ca="1" si="234"/>
        <v>0</v>
      </c>
      <c r="V524" s="306">
        <f t="shared" ca="1" si="235"/>
        <v>1.2254675429656303</v>
      </c>
      <c r="W524" s="304">
        <f t="shared" ca="1" si="236"/>
        <v>58.355640377325955</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2.9268803959817324</v>
      </c>
      <c r="AH524" s="304">
        <f t="shared" ca="1" si="260"/>
        <v>-6.8251804558543965</v>
      </c>
    </row>
    <row r="525" spans="1:34" x14ac:dyDescent="0.3">
      <c r="A525" s="347">
        <f t="shared" ca="1" si="238"/>
        <v>1E-4</v>
      </c>
      <c r="B525" s="304">
        <f t="shared" ca="1" si="239"/>
        <v>33.101000000000234</v>
      </c>
      <c r="D525" s="306">
        <f t="shared" ca="1" si="240"/>
        <v>-0.74069200376118327</v>
      </c>
      <c r="E525" s="307">
        <f t="shared" ca="1" si="241"/>
        <v>-3.0250889191333794</v>
      </c>
      <c r="F525" s="304">
        <f t="shared" ca="1" si="242"/>
        <v>3.1144482036308316</v>
      </c>
      <c r="G525" s="306">
        <f t="shared" ca="1" si="243"/>
        <v>13.452584321602554</v>
      </c>
      <c r="H525" s="307">
        <f t="shared" ca="1" si="244"/>
        <v>-123.22978320988985</v>
      </c>
      <c r="I525" s="304">
        <f t="shared" ca="1" si="245"/>
        <v>123.96189533435779</v>
      </c>
      <c r="J525" s="306">
        <f t="shared" ca="1" si="246"/>
        <v>764.67878961306644</v>
      </c>
      <c r="K525" s="307">
        <f t="shared" ca="1" si="247"/>
        <v>-3.8282720213431634</v>
      </c>
      <c r="L525" s="304">
        <f t="shared" ca="1" si="232"/>
        <v>764.68837244381689</v>
      </c>
      <c r="M525" s="306">
        <f t="shared" ca="1" si="248"/>
        <v>-1.4620602477350728</v>
      </c>
      <c r="N525" s="304">
        <f t="shared" ca="1" si="249"/>
        <v>-83.769881589071247</v>
      </c>
      <c r="P525" s="310">
        <f t="shared" ca="1" si="250"/>
        <v>23</v>
      </c>
      <c r="Q525" s="304">
        <f t="shared" ca="1" si="251"/>
        <v>0</v>
      </c>
      <c r="R525" s="306">
        <f t="shared" ca="1" si="252"/>
        <v>0</v>
      </c>
      <c r="S525" s="307">
        <f t="shared" ca="1" si="253"/>
        <v>8.5499999999999989</v>
      </c>
      <c r="T525" s="304">
        <f t="shared" ca="1" si="233"/>
        <v>83.875499999999988</v>
      </c>
      <c r="U525" s="311">
        <f t="shared" ca="1" si="234"/>
        <v>0</v>
      </c>
      <c r="V525" s="306">
        <f t="shared" ca="1" si="235"/>
        <v>1.2254690531057586</v>
      </c>
      <c r="W525" s="304">
        <f t="shared" ca="1" si="236"/>
        <v>58.355987854951451</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2.9268406693920177</v>
      </c>
      <c r="AH525" s="304">
        <f t="shared" ca="1" si="260"/>
        <v>-6.8252210967632703</v>
      </c>
    </row>
    <row r="526" spans="1:34" x14ac:dyDescent="0.3">
      <c r="A526" s="347">
        <f t="shared" ca="1" si="238"/>
        <v>1E-4</v>
      </c>
      <c r="B526" s="304">
        <f t="shared" ca="1" si="239"/>
        <v>33.101100000000237</v>
      </c>
      <c r="D526" s="306">
        <f t="shared" ca="1" si="240"/>
        <v>-0.74069058715188985</v>
      </c>
      <c r="E526" s="307">
        <f t="shared" ca="1" si="241"/>
        <v>-3.0250478823789217</v>
      </c>
      <c r="F526" s="304">
        <f t="shared" ca="1" si="242"/>
        <v>3.1144080074037519</v>
      </c>
      <c r="G526" s="306">
        <f t="shared" ca="1" si="243"/>
        <v>13.452510252543838</v>
      </c>
      <c r="H526" s="307">
        <f t="shared" ca="1" si="244"/>
        <v>-123.23008571467808</v>
      </c>
      <c r="I526" s="304">
        <f t="shared" ca="1" si="245"/>
        <v>123.96218801449781</v>
      </c>
      <c r="J526" s="306">
        <f t="shared" ca="1" si="246"/>
        <v>764.67878961306644</v>
      </c>
      <c r="K526" s="307">
        <f t="shared" ca="1" si="247"/>
        <v>-3.8405950147893919</v>
      </c>
      <c r="L526" s="304">
        <f t="shared" ca="1" si="232"/>
        <v>764.68843423591284</v>
      </c>
      <c r="M526" s="306">
        <f t="shared" ca="1" si="248"/>
        <v>-1.4620611065454614</v>
      </c>
      <c r="N526" s="304">
        <f t="shared" ca="1" si="249"/>
        <v>-83.769930795281923</v>
      </c>
      <c r="P526" s="310">
        <f t="shared" ca="1" si="250"/>
        <v>23</v>
      </c>
      <c r="Q526" s="304">
        <f t="shared" ca="1" si="251"/>
        <v>0</v>
      </c>
      <c r="R526" s="306">
        <f t="shared" ca="1" si="252"/>
        <v>0</v>
      </c>
      <c r="S526" s="307">
        <f t="shared" ca="1" si="253"/>
        <v>8.5499999999999989</v>
      </c>
      <c r="T526" s="304">
        <f t="shared" ca="1" si="233"/>
        <v>83.875499999999988</v>
      </c>
      <c r="U526" s="311">
        <f t="shared" ca="1" si="234"/>
        <v>0</v>
      </c>
      <c r="V526" s="306">
        <f t="shared" ca="1" si="235"/>
        <v>1.2254705632514558</v>
      </c>
      <c r="W526" s="304">
        <f t="shared" ca="1" si="236"/>
        <v>58.356335330431605</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2.9268009430366808</v>
      </c>
      <c r="AH526" s="304">
        <f t="shared" ca="1" si="260"/>
        <v>-6.825261737421223</v>
      </c>
    </row>
    <row r="527" spans="1:34" x14ac:dyDescent="0.3">
      <c r="A527" s="347">
        <f t="shared" ca="1" si="238"/>
        <v>1E-4</v>
      </c>
      <c r="B527" s="304">
        <f t="shared" ca="1" si="239"/>
        <v>33.10120000000024</v>
      </c>
      <c r="D527" s="306">
        <f t="shared" ca="1" si="240"/>
        <v>-0.74068917050502681</v>
      </c>
      <c r="E527" s="307">
        <f t="shared" ca="1" si="241"/>
        <v>-3.0250068458778339</v>
      </c>
      <c r="F527" s="304">
        <f t="shared" ca="1" si="242"/>
        <v>3.1143678114364053</v>
      </c>
      <c r="G527" s="306">
        <f t="shared" ca="1" si="243"/>
        <v>13.452436183626787</v>
      </c>
      <c r="H527" s="307">
        <f t="shared" ca="1" si="244"/>
        <v>-123.23038821536267</v>
      </c>
      <c r="I527" s="304">
        <f t="shared" ca="1" si="245"/>
        <v>123.9624806906652</v>
      </c>
      <c r="J527" s="306">
        <f t="shared" ca="1" si="246"/>
        <v>764.67878961306644</v>
      </c>
      <c r="K527" s="307">
        <f t="shared" ca="1" si="247"/>
        <v>-3.8529180384858939</v>
      </c>
      <c r="L527" s="304">
        <f t="shared" ca="1" si="232"/>
        <v>764.68849622674179</v>
      </c>
      <c r="M527" s="306">
        <f t="shared" ca="1" si="248"/>
        <v>-1.4620619653470661</v>
      </c>
      <c r="N527" s="304">
        <f t="shared" ca="1" si="249"/>
        <v>-83.769980000989307</v>
      </c>
      <c r="P527" s="310">
        <f t="shared" ca="1" si="250"/>
        <v>23</v>
      </c>
      <c r="Q527" s="304">
        <f t="shared" ca="1" si="251"/>
        <v>0</v>
      </c>
      <c r="R527" s="306">
        <f t="shared" ca="1" si="252"/>
        <v>0</v>
      </c>
      <c r="S527" s="307">
        <f t="shared" ca="1" si="253"/>
        <v>8.5499999999999989</v>
      </c>
      <c r="T527" s="304">
        <f t="shared" ca="1" si="233"/>
        <v>83.875499999999988</v>
      </c>
      <c r="U527" s="311">
        <f t="shared" ca="1" si="234"/>
        <v>0</v>
      </c>
      <c r="V527" s="306">
        <f t="shared" ca="1" si="235"/>
        <v>1.2254720734027211</v>
      </c>
      <c r="W527" s="304">
        <f t="shared" ca="1" si="236"/>
        <v>58.35668280376639</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2.9267612169157156</v>
      </c>
      <c r="AH527" s="304">
        <f t="shared" ca="1" si="260"/>
        <v>-6.8253023778282591</v>
      </c>
    </row>
    <row r="528" spans="1:34" x14ac:dyDescent="0.3">
      <c r="A528" s="347">
        <f t="shared" ca="1" si="238"/>
        <v>1E-4</v>
      </c>
      <c r="B528" s="304">
        <f t="shared" ca="1" si="239"/>
        <v>33.101300000000244</v>
      </c>
      <c r="D528" s="306">
        <f t="shared" ca="1" si="240"/>
        <v>-0.7406877538205936</v>
      </c>
      <c r="E528" s="307">
        <f t="shared" ca="1" si="241"/>
        <v>-3.0249658096301211</v>
      </c>
      <c r="F528" s="304">
        <f t="shared" ca="1" si="242"/>
        <v>3.1143276157287962</v>
      </c>
      <c r="G528" s="306">
        <f t="shared" ca="1" si="243"/>
        <v>13.452362114851406</v>
      </c>
      <c r="H528" s="307">
        <f t="shared" ca="1" si="244"/>
        <v>-123.23069071194362</v>
      </c>
      <c r="I528" s="304">
        <f t="shared" ca="1" si="245"/>
        <v>123.96277336286002</v>
      </c>
      <c r="J528" s="306">
        <f t="shared" ca="1" si="246"/>
        <v>764.67878961306644</v>
      </c>
      <c r="K528" s="307">
        <f t="shared" ca="1" si="247"/>
        <v>-3.8652410924322593</v>
      </c>
      <c r="L528" s="304">
        <f t="shared" ca="1" si="232"/>
        <v>764.68855841630511</v>
      </c>
      <c r="M528" s="306">
        <f t="shared" ca="1" si="248"/>
        <v>-1.4620628241398872</v>
      </c>
      <c r="N528" s="304">
        <f t="shared" ca="1" si="249"/>
        <v>-83.770029206193428</v>
      </c>
      <c r="P528" s="310">
        <f t="shared" ca="1" si="250"/>
        <v>23</v>
      </c>
      <c r="Q528" s="304">
        <f t="shared" ca="1" si="251"/>
        <v>0</v>
      </c>
      <c r="R528" s="306">
        <f t="shared" ca="1" si="252"/>
        <v>0</v>
      </c>
      <c r="S528" s="307">
        <f t="shared" ca="1" si="253"/>
        <v>8.5499999999999989</v>
      </c>
      <c r="T528" s="304">
        <f t="shared" ca="1" si="233"/>
        <v>83.875499999999988</v>
      </c>
      <c r="U528" s="311">
        <f t="shared" ca="1" si="234"/>
        <v>0</v>
      </c>
      <c r="V528" s="306">
        <f t="shared" ca="1" si="235"/>
        <v>1.2254735835595549</v>
      </c>
      <c r="W528" s="304">
        <f t="shared" ca="1" si="236"/>
        <v>58.357030274955797</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2.9267214910291282</v>
      </c>
      <c r="AH528" s="304">
        <f t="shared" ca="1" si="260"/>
        <v>-6.8253430179843741</v>
      </c>
    </row>
    <row r="529" spans="1:34" x14ac:dyDescent="0.3">
      <c r="A529" s="347">
        <f t="shared" ca="1" si="238"/>
        <v>1E-4</v>
      </c>
      <c r="B529" s="304">
        <f t="shared" ca="1" si="239"/>
        <v>33.101400000000247</v>
      </c>
      <c r="D529" s="306">
        <f t="shared" ca="1" si="240"/>
        <v>-0.74068633709859066</v>
      </c>
      <c r="E529" s="307">
        <f t="shared" ca="1" si="241"/>
        <v>-3.0249247736357816</v>
      </c>
      <c r="F529" s="304">
        <f t="shared" ca="1" si="242"/>
        <v>3.1142874202809239</v>
      </c>
      <c r="G529" s="306">
        <f t="shared" ca="1" si="243"/>
        <v>13.452288046217696</v>
      </c>
      <c r="H529" s="307">
        <f t="shared" ca="1" si="244"/>
        <v>-123.23099320442098</v>
      </c>
      <c r="I529" s="304">
        <f t="shared" ca="1" si="245"/>
        <v>123.96306603108226</v>
      </c>
      <c r="J529" s="306">
        <f t="shared" ca="1" si="246"/>
        <v>764.67878961306644</v>
      </c>
      <c r="K529" s="307">
        <f t="shared" ca="1" si="247"/>
        <v>-3.8775641766280775</v>
      </c>
      <c r="L529" s="304">
        <f t="shared" ca="1" si="232"/>
        <v>764.68862080460451</v>
      </c>
      <c r="M529" s="306">
        <f t="shared" ca="1" si="248"/>
        <v>-1.4620636829239246</v>
      </c>
      <c r="N529" s="304">
        <f t="shared" ca="1" si="249"/>
        <v>-83.770078410894286</v>
      </c>
      <c r="P529" s="310">
        <f t="shared" ca="1" si="250"/>
        <v>23</v>
      </c>
      <c r="Q529" s="304">
        <f t="shared" ca="1" si="251"/>
        <v>0</v>
      </c>
      <c r="R529" s="306">
        <f t="shared" ca="1" si="252"/>
        <v>0</v>
      </c>
      <c r="S529" s="307">
        <f t="shared" ca="1" si="253"/>
        <v>8.5499999999999989</v>
      </c>
      <c r="T529" s="304">
        <f t="shared" ca="1" si="233"/>
        <v>83.875499999999988</v>
      </c>
      <c r="U529" s="311">
        <f t="shared" ca="1" si="234"/>
        <v>0</v>
      </c>
      <c r="V529" s="306">
        <f t="shared" ca="1" si="235"/>
        <v>1.2254750937219572</v>
      </c>
      <c r="W529" s="304">
        <f t="shared" ca="1" si="236"/>
        <v>58.357377743999812</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2.9266817653769186</v>
      </c>
      <c r="AH529" s="304">
        <f t="shared" ca="1" si="260"/>
        <v>-6.8253836578895681</v>
      </c>
    </row>
    <row r="530" spans="1:34" x14ac:dyDescent="0.3">
      <c r="A530" s="347">
        <f t="shared" ca="1" si="238"/>
        <v>1E-4</v>
      </c>
      <c r="B530" s="304">
        <f t="shared" ca="1" si="239"/>
        <v>33.10150000000025</v>
      </c>
      <c r="D530" s="306">
        <f t="shared" ca="1" si="240"/>
        <v>-0.74068492033901923</v>
      </c>
      <c r="E530" s="307">
        <f t="shared" ca="1" si="241"/>
        <v>-3.0248837378948199</v>
      </c>
      <c r="F530" s="304">
        <f t="shared" ca="1" si="242"/>
        <v>3.1142472250927922</v>
      </c>
      <c r="G530" s="306">
        <f t="shared" ca="1" si="243"/>
        <v>13.452213977725663</v>
      </c>
      <c r="H530" s="307">
        <f t="shared" ca="1" si="244"/>
        <v>-123.23129569279477</v>
      </c>
      <c r="I530" s="304">
        <f t="shared" ca="1" si="245"/>
        <v>123.96335869533196</v>
      </c>
      <c r="J530" s="306">
        <f t="shared" ca="1" si="246"/>
        <v>764.67878961306644</v>
      </c>
      <c r="K530" s="307">
        <f t="shared" ca="1" si="247"/>
        <v>-3.8898872910729385</v>
      </c>
      <c r="L530" s="304">
        <f t="shared" ca="1" si="232"/>
        <v>764.68868339164112</v>
      </c>
      <c r="M530" s="306">
        <f t="shared" ca="1" si="248"/>
        <v>-1.4620645416991784</v>
      </c>
      <c r="N530" s="304">
        <f t="shared" ca="1" si="249"/>
        <v>-83.77012761509188</v>
      </c>
      <c r="P530" s="310">
        <f t="shared" ca="1" si="250"/>
        <v>23</v>
      </c>
      <c r="Q530" s="304">
        <f t="shared" ca="1" si="251"/>
        <v>0</v>
      </c>
      <c r="R530" s="306">
        <f t="shared" ca="1" si="252"/>
        <v>0</v>
      </c>
      <c r="S530" s="307">
        <f t="shared" ca="1" si="253"/>
        <v>8.5499999999999989</v>
      </c>
      <c r="T530" s="304">
        <f t="shared" ca="1" si="233"/>
        <v>83.875499999999988</v>
      </c>
      <c r="U530" s="311">
        <f t="shared" ca="1" si="234"/>
        <v>0</v>
      </c>
      <c r="V530" s="306">
        <f t="shared" ca="1" si="235"/>
        <v>1.2254766038899272</v>
      </c>
      <c r="W530" s="304">
        <f t="shared" ca="1" si="236"/>
        <v>58.357725210898401</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2.9266420399590878</v>
      </c>
      <c r="AH530" s="304">
        <f t="shared" ca="1" si="260"/>
        <v>-6.8254242975438384</v>
      </c>
    </row>
    <row r="531" spans="1:34" x14ac:dyDescent="0.3">
      <c r="A531" s="347">
        <f t="shared" ca="1" si="238"/>
        <v>1E-4</v>
      </c>
      <c r="B531" s="304">
        <f t="shared" ca="1" si="239"/>
        <v>33.101600000000253</v>
      </c>
      <c r="D531" s="306">
        <f t="shared" ca="1" si="240"/>
        <v>-0.74068350354188095</v>
      </c>
      <c r="E531" s="307">
        <f t="shared" ca="1" si="241"/>
        <v>-3.0248427024072377</v>
      </c>
      <c r="F531" s="304">
        <f t="shared" ca="1" si="242"/>
        <v>3.1142070301644038</v>
      </c>
      <c r="G531" s="306">
        <f t="shared" ca="1" si="243"/>
        <v>13.452139909375308</v>
      </c>
      <c r="H531" s="307">
        <f t="shared" ca="1" si="244"/>
        <v>-123.23159817706501</v>
      </c>
      <c r="I531" s="304">
        <f t="shared" ca="1" si="245"/>
        <v>123.96365135560916</v>
      </c>
      <c r="J531" s="306">
        <f t="shared" ca="1" si="246"/>
        <v>764.67878961306644</v>
      </c>
      <c r="K531" s="307">
        <f t="shared" ca="1" si="247"/>
        <v>-3.9022104357664316</v>
      </c>
      <c r="L531" s="304">
        <f t="shared" ca="1" si="232"/>
        <v>764.68874617741642</v>
      </c>
      <c r="M531" s="306">
        <f t="shared" ca="1" si="248"/>
        <v>-1.462065400465649</v>
      </c>
      <c r="N531" s="304">
        <f t="shared" ca="1" si="249"/>
        <v>-83.77017681878624</v>
      </c>
      <c r="P531" s="310">
        <f t="shared" ca="1" si="250"/>
        <v>23</v>
      </c>
      <c r="Q531" s="304">
        <f t="shared" ca="1" si="251"/>
        <v>0</v>
      </c>
      <c r="R531" s="306">
        <f t="shared" ca="1" si="252"/>
        <v>0</v>
      </c>
      <c r="S531" s="307">
        <f t="shared" ca="1" si="253"/>
        <v>8.5499999999999989</v>
      </c>
      <c r="T531" s="304">
        <f t="shared" ca="1" si="233"/>
        <v>83.875499999999988</v>
      </c>
      <c r="U531" s="311">
        <f t="shared" ca="1" si="234"/>
        <v>0</v>
      </c>
      <c r="V531" s="306">
        <f t="shared" ca="1" si="235"/>
        <v>1.2254781140634661</v>
      </c>
      <c r="W531" s="304">
        <f t="shared" ca="1" si="236"/>
        <v>58.35807267565162</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2.9266023147756419</v>
      </c>
      <c r="AH531" s="304">
        <f t="shared" ca="1" si="260"/>
        <v>-6.8254649369471823</v>
      </c>
    </row>
    <row r="532" spans="1:34" x14ac:dyDescent="0.3">
      <c r="A532" s="347">
        <f t="shared" ca="1" si="238"/>
        <v>1E-4</v>
      </c>
      <c r="B532" s="304">
        <f t="shared" ca="1" si="239"/>
        <v>33.101700000000257</v>
      </c>
      <c r="D532" s="306">
        <f t="shared" ca="1" si="240"/>
        <v>-0.74068208670717484</v>
      </c>
      <c r="E532" s="307">
        <f t="shared" ca="1" si="241"/>
        <v>-3.024801667173028</v>
      </c>
      <c r="F532" s="304">
        <f t="shared" ca="1" si="242"/>
        <v>3.1141668354957521</v>
      </c>
      <c r="G532" s="306">
        <f t="shared" ca="1" si="243"/>
        <v>13.452065841166638</v>
      </c>
      <c r="H532" s="307">
        <f t="shared" ca="1" si="244"/>
        <v>-123.23190065723173</v>
      </c>
      <c r="I532" s="304">
        <f t="shared" ca="1" si="245"/>
        <v>123.96394401191387</v>
      </c>
      <c r="J532" s="306">
        <f t="shared" ca="1" si="246"/>
        <v>764.67878961306644</v>
      </c>
      <c r="K532" s="307">
        <f t="shared" ca="1" si="247"/>
        <v>-3.9145336107081463</v>
      </c>
      <c r="L532" s="304">
        <f t="shared" ca="1" si="232"/>
        <v>764.688809161932</v>
      </c>
      <c r="M532" s="306">
        <f t="shared" ca="1" si="248"/>
        <v>-1.4620662592233367</v>
      </c>
      <c r="N532" s="304">
        <f t="shared" ca="1" si="249"/>
        <v>-83.770226021977365</v>
      </c>
      <c r="P532" s="310">
        <f t="shared" ca="1" si="250"/>
        <v>23</v>
      </c>
      <c r="Q532" s="304">
        <f t="shared" ca="1" si="251"/>
        <v>0</v>
      </c>
      <c r="R532" s="306">
        <f t="shared" ca="1" si="252"/>
        <v>0</v>
      </c>
      <c r="S532" s="307">
        <f t="shared" ca="1" si="253"/>
        <v>8.5499999999999989</v>
      </c>
      <c r="T532" s="304">
        <f t="shared" ca="1" si="233"/>
        <v>83.875499999999988</v>
      </c>
      <c r="U532" s="311">
        <f t="shared" ca="1" si="234"/>
        <v>0</v>
      </c>
      <c r="V532" s="306">
        <f t="shared" ca="1" si="235"/>
        <v>1.2254796242425725</v>
      </c>
      <c r="W532" s="304">
        <f t="shared" ca="1" si="236"/>
        <v>58.358420138259376</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2.9265625898265748</v>
      </c>
      <c r="AH532" s="304">
        <f t="shared" ca="1" si="260"/>
        <v>-6.825505576099606</v>
      </c>
    </row>
    <row r="533" spans="1:34" x14ac:dyDescent="0.3">
      <c r="A533" s="347">
        <f t="shared" ca="1" si="238"/>
        <v>1E-4</v>
      </c>
      <c r="B533" s="304">
        <f t="shared" ca="1" si="239"/>
        <v>33.10180000000026</v>
      </c>
      <c r="D533" s="306">
        <f t="shared" ca="1" si="240"/>
        <v>-0.74068066983490011</v>
      </c>
      <c r="E533" s="307">
        <f t="shared" ca="1" si="241"/>
        <v>-3.0247606321922049</v>
      </c>
      <c r="F533" s="304">
        <f t="shared" ca="1" si="242"/>
        <v>3.1141266410868496</v>
      </c>
      <c r="G533" s="306">
        <f t="shared" ca="1" si="243"/>
        <v>13.451991773099655</v>
      </c>
      <c r="H533" s="307">
        <f t="shared" ca="1" si="244"/>
        <v>-123.23220313329496</v>
      </c>
      <c r="I533" s="304">
        <f t="shared" ca="1" si="245"/>
        <v>123.96423666424609</v>
      </c>
      <c r="J533" s="306">
        <f t="shared" ca="1" si="246"/>
        <v>764.67878961306644</v>
      </c>
      <c r="K533" s="307">
        <f t="shared" ca="1" si="247"/>
        <v>-3.9268568158976724</v>
      </c>
      <c r="L533" s="304">
        <f t="shared" ca="1" si="232"/>
        <v>764.68887234518911</v>
      </c>
      <c r="M533" s="306">
        <f t="shared" ca="1" si="248"/>
        <v>-1.4620671179722409</v>
      </c>
      <c r="N533" s="304">
        <f t="shared" ca="1" si="249"/>
        <v>-83.770275224665241</v>
      </c>
      <c r="P533" s="310">
        <f t="shared" ca="1" si="250"/>
        <v>23</v>
      </c>
      <c r="Q533" s="304">
        <f t="shared" ca="1" si="251"/>
        <v>0</v>
      </c>
      <c r="R533" s="306">
        <f t="shared" ca="1" si="252"/>
        <v>0</v>
      </c>
      <c r="S533" s="307">
        <f t="shared" ca="1" si="253"/>
        <v>8.5499999999999989</v>
      </c>
      <c r="T533" s="304">
        <f t="shared" ca="1" si="233"/>
        <v>83.875499999999988</v>
      </c>
      <c r="U533" s="311">
        <f t="shared" ca="1" si="234"/>
        <v>0</v>
      </c>
      <c r="V533" s="306">
        <f t="shared" ca="1" si="235"/>
        <v>1.225481134427248</v>
      </c>
      <c r="W533" s="304">
        <f t="shared" ca="1" si="236"/>
        <v>58.358767598721712</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2.9265228651118971</v>
      </c>
      <c r="AH533" s="304">
        <f t="shared" ca="1" si="260"/>
        <v>-6.825546215001097</v>
      </c>
    </row>
    <row r="534" spans="1:34" x14ac:dyDescent="0.3">
      <c r="A534" s="347">
        <f t="shared" ca="1" si="238"/>
        <v>1E-4</v>
      </c>
      <c r="B534" s="304">
        <f t="shared" ca="1" si="239"/>
        <v>33.101900000000263</v>
      </c>
      <c r="D534" s="306">
        <f t="shared" ca="1" si="240"/>
        <v>-0.74067925292506231</v>
      </c>
      <c r="E534" s="307">
        <f t="shared" ca="1" si="241"/>
        <v>-3.0247195974647605</v>
      </c>
      <c r="F534" s="304">
        <f t="shared" ca="1" si="242"/>
        <v>3.1140864469376908</v>
      </c>
      <c r="G534" s="306">
        <f t="shared" ca="1" si="243"/>
        <v>13.451917705174363</v>
      </c>
      <c r="H534" s="307">
        <f t="shared" ca="1" si="244"/>
        <v>-123.2325056052547</v>
      </c>
      <c r="I534" s="304">
        <f t="shared" ca="1" si="245"/>
        <v>123.96452931260585</v>
      </c>
      <c r="J534" s="306">
        <f t="shared" ca="1" si="246"/>
        <v>764.67878961306644</v>
      </c>
      <c r="K534" s="307">
        <f t="shared" ca="1" si="247"/>
        <v>-3.9391800513346</v>
      </c>
      <c r="L534" s="304">
        <f t="shared" ca="1" si="232"/>
        <v>764.68893572718912</v>
      </c>
      <c r="M534" s="306">
        <f t="shared" ca="1" si="248"/>
        <v>-1.4620679767123623</v>
      </c>
      <c r="N534" s="304">
        <f t="shared" ca="1" si="249"/>
        <v>-83.770324426849896</v>
      </c>
      <c r="P534" s="310">
        <f t="shared" ca="1" si="250"/>
        <v>23</v>
      </c>
      <c r="Q534" s="304">
        <f t="shared" ca="1" si="251"/>
        <v>0</v>
      </c>
      <c r="R534" s="306">
        <f t="shared" ca="1" si="252"/>
        <v>0</v>
      </c>
      <c r="S534" s="307">
        <f t="shared" ca="1" si="253"/>
        <v>8.5499999999999989</v>
      </c>
      <c r="T534" s="304">
        <f t="shared" ca="1" si="233"/>
        <v>83.875499999999988</v>
      </c>
      <c r="U534" s="311">
        <f t="shared" ca="1" si="234"/>
        <v>0</v>
      </c>
      <c r="V534" s="306">
        <f t="shared" ca="1" si="235"/>
        <v>1.2254826446174907</v>
      </c>
      <c r="W534" s="304">
        <f t="shared" ca="1" si="236"/>
        <v>58.359115057038537</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2.9264831406316008</v>
      </c>
      <c r="AH534" s="304">
        <f t="shared" ca="1" si="260"/>
        <v>-6.8255868536516635</v>
      </c>
    </row>
    <row r="535" spans="1:34" x14ac:dyDescent="0.3">
      <c r="A535" s="347">
        <f t="shared" ca="1" si="238"/>
        <v>1E-4</v>
      </c>
      <c r="B535" s="304">
        <f t="shared" ca="1" si="239"/>
        <v>33.102000000000267</v>
      </c>
      <c r="D535" s="306">
        <f t="shared" ca="1" si="240"/>
        <v>-0.74067783597765713</v>
      </c>
      <c r="E535" s="307">
        <f t="shared" ca="1" si="241"/>
        <v>-3.0246785629907063</v>
      </c>
      <c r="F535" s="304">
        <f t="shared" ca="1" si="242"/>
        <v>3.114046253048286</v>
      </c>
      <c r="G535" s="306">
        <f t="shared" ca="1" si="243"/>
        <v>13.451843637390766</v>
      </c>
      <c r="H535" s="307">
        <f t="shared" ca="1" si="244"/>
        <v>-123.232808073111</v>
      </c>
      <c r="I535" s="304">
        <f t="shared" ca="1" si="245"/>
        <v>123.96482195699319</v>
      </c>
      <c r="J535" s="306">
        <f t="shared" ca="1" si="246"/>
        <v>764.67878961306644</v>
      </c>
      <c r="K535" s="307">
        <f t="shared" ca="1" si="247"/>
        <v>-3.9515033170185183</v>
      </c>
      <c r="L535" s="304">
        <f t="shared" ca="1" si="232"/>
        <v>764.6889993079335</v>
      </c>
      <c r="M535" s="306">
        <f t="shared" ca="1" si="248"/>
        <v>-1.462068835443701</v>
      </c>
      <c r="N535" s="304">
        <f t="shared" ca="1" si="249"/>
        <v>-83.770373628531331</v>
      </c>
      <c r="P535" s="310">
        <f t="shared" ca="1" si="250"/>
        <v>23</v>
      </c>
      <c r="Q535" s="304">
        <f t="shared" ca="1" si="251"/>
        <v>0</v>
      </c>
      <c r="R535" s="306">
        <f t="shared" ca="1" si="252"/>
        <v>0</v>
      </c>
      <c r="S535" s="307">
        <f t="shared" ca="1" si="253"/>
        <v>8.5499999999999989</v>
      </c>
      <c r="T535" s="304">
        <f t="shared" ca="1" si="233"/>
        <v>83.875499999999988</v>
      </c>
      <c r="U535" s="311">
        <f t="shared" ca="1" si="234"/>
        <v>0</v>
      </c>
      <c r="V535" s="306">
        <f t="shared" ca="1" si="235"/>
        <v>1.2254841548133022</v>
      </c>
      <c r="W535" s="304">
        <f t="shared" ca="1" si="236"/>
        <v>58.35946251320992</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2.9264434163857027</v>
      </c>
      <c r="AH535" s="304">
        <f t="shared" ca="1" si="260"/>
        <v>-6.825627492051292</v>
      </c>
    </row>
    <row r="536" spans="1:34" x14ac:dyDescent="0.3">
      <c r="A536" s="347">
        <f t="shared" ca="1" si="238"/>
        <v>1E-4</v>
      </c>
      <c r="B536" s="304">
        <f t="shared" ca="1" si="239"/>
        <v>33.10210000000027</v>
      </c>
      <c r="D536" s="306">
        <f t="shared" ca="1" si="240"/>
        <v>-0.7406764189926871</v>
      </c>
      <c r="E536" s="307">
        <f t="shared" ca="1" si="241"/>
        <v>-3.0246375287700351</v>
      </c>
      <c r="F536" s="304">
        <f t="shared" ca="1" si="242"/>
        <v>3.1140060594186285</v>
      </c>
      <c r="G536" s="306">
        <f t="shared" ca="1" si="243"/>
        <v>13.451769569748867</v>
      </c>
      <c r="H536" s="307">
        <f t="shared" ca="1" si="244"/>
        <v>-123.23311053686388</v>
      </c>
      <c r="I536" s="304">
        <f t="shared" ca="1" si="245"/>
        <v>123.96511459740815</v>
      </c>
      <c r="J536" s="306">
        <f t="shared" ca="1" si="246"/>
        <v>764.67878961306644</v>
      </c>
      <c r="K536" s="307">
        <f t="shared" ca="1" si="247"/>
        <v>-3.9638266129490169</v>
      </c>
      <c r="L536" s="304">
        <f t="shared" ca="1" si="232"/>
        <v>764.68906308742373</v>
      </c>
      <c r="M536" s="306">
        <f t="shared" ca="1" si="248"/>
        <v>-1.4620696941662572</v>
      </c>
      <c r="N536" s="304">
        <f t="shared" ca="1" si="249"/>
        <v>-83.770422829709574</v>
      </c>
      <c r="P536" s="310">
        <f t="shared" ca="1" si="250"/>
        <v>23</v>
      </c>
      <c r="Q536" s="304">
        <f t="shared" ca="1" si="251"/>
        <v>0</v>
      </c>
      <c r="R536" s="306">
        <f t="shared" ca="1" si="252"/>
        <v>0</v>
      </c>
      <c r="S536" s="307">
        <f t="shared" ca="1" si="253"/>
        <v>8.5499999999999989</v>
      </c>
      <c r="T536" s="304">
        <f t="shared" ca="1" si="233"/>
        <v>83.875499999999988</v>
      </c>
      <c r="U536" s="311">
        <f t="shared" ca="1" si="234"/>
        <v>0</v>
      </c>
      <c r="V536" s="306">
        <f t="shared" ca="1" si="235"/>
        <v>1.2254856650146817</v>
      </c>
      <c r="W536" s="304">
        <f t="shared" ca="1" si="236"/>
        <v>58.359809967235826</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2.9264036923741923</v>
      </c>
      <c r="AH536" s="304">
        <f t="shared" ca="1" si="260"/>
        <v>-6.8256681301999915</v>
      </c>
    </row>
    <row r="537" spans="1:34" x14ac:dyDescent="0.3">
      <c r="A537" s="347">
        <f t="shared" ca="1" si="238"/>
        <v>1E-4</v>
      </c>
      <c r="B537" s="304">
        <f t="shared" ca="1" si="239"/>
        <v>33.102200000000273</v>
      </c>
      <c r="D537" s="306">
        <f t="shared" ca="1" si="240"/>
        <v>-0.74067500197015235</v>
      </c>
      <c r="E537" s="307">
        <f t="shared" ca="1" si="241"/>
        <v>-3.0245964948027497</v>
      </c>
      <c r="F537" s="304">
        <f t="shared" ca="1" si="242"/>
        <v>3.1139658660487215</v>
      </c>
      <c r="G537" s="306">
        <f t="shared" ca="1" si="243"/>
        <v>13.45169550224867</v>
      </c>
      <c r="H537" s="307">
        <f t="shared" ca="1" si="244"/>
        <v>-123.23341299651335</v>
      </c>
      <c r="I537" s="304">
        <f t="shared" ca="1" si="245"/>
        <v>123.9654072338507</v>
      </c>
      <c r="J537" s="306">
        <f t="shared" ca="1" si="246"/>
        <v>764.67878961306644</v>
      </c>
      <c r="K537" s="307">
        <f t="shared" ca="1" si="247"/>
        <v>-3.9761499391256856</v>
      </c>
      <c r="L537" s="304">
        <f t="shared" ca="1" si="232"/>
        <v>764.68912706566107</v>
      </c>
      <c r="M537" s="306">
        <f t="shared" ca="1" si="248"/>
        <v>-1.4620705528800306</v>
      </c>
      <c r="N537" s="304">
        <f t="shared" ca="1" si="249"/>
        <v>-83.77047203038461</v>
      </c>
      <c r="P537" s="310">
        <f t="shared" ca="1" si="250"/>
        <v>23</v>
      </c>
      <c r="Q537" s="304">
        <f t="shared" ca="1" si="251"/>
        <v>0</v>
      </c>
      <c r="R537" s="306">
        <f t="shared" ca="1" si="252"/>
        <v>0</v>
      </c>
      <c r="S537" s="307">
        <f t="shared" ca="1" si="253"/>
        <v>8.5499999999999989</v>
      </c>
      <c r="T537" s="304">
        <f t="shared" ca="1" si="233"/>
        <v>83.875499999999988</v>
      </c>
      <c r="U537" s="311">
        <f t="shared" ca="1" si="234"/>
        <v>0</v>
      </c>
      <c r="V537" s="306">
        <f t="shared" ca="1" si="235"/>
        <v>1.2254871752216292</v>
      </c>
      <c r="W537" s="304">
        <f t="shared" ca="1" si="236"/>
        <v>58.360157419116206</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2.9263639685970748</v>
      </c>
      <c r="AH537" s="304">
        <f t="shared" ca="1" si="260"/>
        <v>-6.8257087680977584</v>
      </c>
    </row>
    <row r="538" spans="1:34" x14ac:dyDescent="0.3">
      <c r="A538" s="347">
        <f t="shared" ca="1" si="238"/>
        <v>1E-4</v>
      </c>
      <c r="B538" s="304">
        <f t="shared" ca="1" si="239"/>
        <v>33.102300000000277</v>
      </c>
      <c r="D538" s="306">
        <f t="shared" ca="1" si="240"/>
        <v>-0.74067358491005508</v>
      </c>
      <c r="E538" s="307">
        <f t="shared" ca="1" si="241"/>
        <v>-3.0245554610888572</v>
      </c>
      <c r="F538" s="304">
        <f t="shared" ca="1" si="242"/>
        <v>3.1139256729385725</v>
      </c>
      <c r="G538" s="306">
        <f t="shared" ca="1" si="243"/>
        <v>13.451621434890178</v>
      </c>
      <c r="H538" s="307">
        <f t="shared" ca="1" si="244"/>
        <v>-123.23371545205946</v>
      </c>
      <c r="I538" s="304">
        <f t="shared" ca="1" si="245"/>
        <v>123.9656998663209</v>
      </c>
      <c r="J538" s="306">
        <f t="shared" ca="1" si="246"/>
        <v>764.67878961306644</v>
      </c>
      <c r="K538" s="307">
        <f t="shared" ca="1" si="247"/>
        <v>-3.9884732955481144</v>
      </c>
      <c r="L538" s="304">
        <f t="shared" ca="1" si="232"/>
        <v>764.6891912426471</v>
      </c>
      <c r="M538" s="306">
        <f t="shared" ca="1" si="248"/>
        <v>-1.462071411585022</v>
      </c>
      <c r="N538" s="304">
        <f t="shared" ca="1" si="249"/>
        <v>-83.770521230556454</v>
      </c>
      <c r="P538" s="310">
        <f t="shared" ca="1" si="250"/>
        <v>23</v>
      </c>
      <c r="Q538" s="304">
        <f t="shared" ca="1" si="251"/>
        <v>0</v>
      </c>
      <c r="R538" s="306">
        <f t="shared" ca="1" si="252"/>
        <v>0</v>
      </c>
      <c r="S538" s="307">
        <f t="shared" ca="1" si="253"/>
        <v>8.5499999999999989</v>
      </c>
      <c r="T538" s="304">
        <f t="shared" ca="1" si="233"/>
        <v>83.875499999999988</v>
      </c>
      <c r="U538" s="311">
        <f t="shared" ca="1" si="234"/>
        <v>0</v>
      </c>
      <c r="V538" s="306">
        <f t="shared" ca="1" si="235"/>
        <v>1.2254886854341447</v>
      </c>
      <c r="W538" s="304">
        <f t="shared" ca="1" si="236"/>
        <v>58.360504868851088</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2.9263242450543547</v>
      </c>
      <c r="AH538" s="304">
        <f t="shared" ca="1" si="260"/>
        <v>-6.8257494057445864</v>
      </c>
    </row>
    <row r="539" spans="1:34" x14ac:dyDescent="0.3">
      <c r="A539" s="347">
        <f t="shared" ca="1" si="238"/>
        <v>1E-4</v>
      </c>
      <c r="B539" s="304">
        <f t="shared" ca="1" si="239"/>
        <v>33.10240000000028</v>
      </c>
      <c r="D539" s="306">
        <f t="shared" ca="1" si="240"/>
        <v>-0.7406721678123932</v>
      </c>
      <c r="E539" s="307">
        <f t="shared" ca="1" si="241"/>
        <v>-3.0245144276283522</v>
      </c>
      <c r="F539" s="304">
        <f t="shared" ca="1" si="242"/>
        <v>3.1138854800881757</v>
      </c>
      <c r="G539" s="306">
        <f t="shared" ca="1" si="243"/>
        <v>13.451547367673397</v>
      </c>
      <c r="H539" s="307">
        <f t="shared" ca="1" si="244"/>
        <v>-123.23401790350222</v>
      </c>
      <c r="I539" s="304">
        <f t="shared" ca="1" si="245"/>
        <v>123.96599249481879</v>
      </c>
      <c r="J539" s="306">
        <f t="shared" ca="1" si="246"/>
        <v>764.67878961306644</v>
      </c>
      <c r="K539" s="307">
        <f t="shared" ca="1" si="247"/>
        <v>-4.000796682215892</v>
      </c>
      <c r="L539" s="304">
        <f t="shared" ca="1" si="232"/>
        <v>764.68925561838307</v>
      </c>
      <c r="M539" s="306">
        <f t="shared" ca="1" si="248"/>
        <v>-1.462072270281231</v>
      </c>
      <c r="N539" s="304">
        <f t="shared" ca="1" si="249"/>
        <v>-83.770570430225121</v>
      </c>
      <c r="P539" s="310">
        <f t="shared" ca="1" si="250"/>
        <v>23</v>
      </c>
      <c r="Q539" s="304">
        <f t="shared" ca="1" si="251"/>
        <v>0</v>
      </c>
      <c r="R539" s="306">
        <f t="shared" ca="1" si="252"/>
        <v>0</v>
      </c>
      <c r="S539" s="307">
        <f t="shared" ca="1" si="253"/>
        <v>8.5499999999999989</v>
      </c>
      <c r="T539" s="304">
        <f t="shared" ca="1" si="233"/>
        <v>83.875499999999988</v>
      </c>
      <c r="U539" s="311">
        <f t="shared" ca="1" si="234"/>
        <v>0</v>
      </c>
      <c r="V539" s="306">
        <f t="shared" ca="1" si="235"/>
        <v>1.2254901956522286</v>
      </c>
      <c r="W539" s="304">
        <f t="shared" ca="1" si="236"/>
        <v>58.360852316440472</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2.926284521746032</v>
      </c>
      <c r="AH539" s="304">
        <f t="shared" ca="1" si="260"/>
        <v>-6.8257900431404792</v>
      </c>
    </row>
    <row r="540" spans="1:34" x14ac:dyDescent="0.3">
      <c r="A540" s="347">
        <f t="shared" ca="1" si="238"/>
        <v>1E-4</v>
      </c>
      <c r="B540" s="304">
        <f t="shared" ca="1" si="239"/>
        <v>33.102500000000283</v>
      </c>
      <c r="D540" s="306">
        <f t="shared" ca="1" si="240"/>
        <v>-0.7406707506771697</v>
      </c>
      <c r="E540" s="307">
        <f t="shared" ca="1" si="241"/>
        <v>-3.0244733944212374</v>
      </c>
      <c r="F540" s="304">
        <f t="shared" ca="1" si="242"/>
        <v>3.1138452874975346</v>
      </c>
      <c r="G540" s="306">
        <f t="shared" ca="1" si="243"/>
        <v>13.45147330059833</v>
      </c>
      <c r="H540" s="307">
        <f t="shared" ca="1" si="244"/>
        <v>-123.23432035084166</v>
      </c>
      <c r="I540" s="304">
        <f t="shared" ca="1" si="245"/>
        <v>123.96628511934435</v>
      </c>
      <c r="J540" s="306">
        <f t="shared" ca="1" si="246"/>
        <v>764.67878961306644</v>
      </c>
      <c r="K540" s="307">
        <f t="shared" ca="1" si="247"/>
        <v>-4.0131200991286091</v>
      </c>
      <c r="L540" s="304">
        <f t="shared" ca="1" si="232"/>
        <v>764.68932019287047</v>
      </c>
      <c r="M540" s="306">
        <f t="shared" ca="1" si="248"/>
        <v>-1.4620731289686577</v>
      </c>
      <c r="N540" s="304">
        <f t="shared" ca="1" si="249"/>
        <v>-83.77061962939058</v>
      </c>
      <c r="P540" s="310">
        <f t="shared" ca="1" si="250"/>
        <v>23</v>
      </c>
      <c r="Q540" s="304">
        <f t="shared" ca="1" si="251"/>
        <v>0</v>
      </c>
      <c r="R540" s="306">
        <f t="shared" ca="1" si="252"/>
        <v>0</v>
      </c>
      <c r="S540" s="307">
        <f t="shared" ca="1" si="253"/>
        <v>8.5499999999999989</v>
      </c>
      <c r="T540" s="304">
        <f t="shared" ca="1" si="233"/>
        <v>83.875499999999988</v>
      </c>
      <c r="U540" s="311">
        <f t="shared" ca="1" si="234"/>
        <v>0</v>
      </c>
      <c r="V540" s="306">
        <f t="shared" ca="1" si="235"/>
        <v>1.2254917058758799</v>
      </c>
      <c r="W540" s="304">
        <f t="shared" ca="1" si="236"/>
        <v>58.361199761884244</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2.9262447986721041</v>
      </c>
      <c r="AH540" s="304">
        <f t="shared" ca="1" si="260"/>
        <v>-6.8258306802854358</v>
      </c>
    </row>
    <row r="541" spans="1:34" x14ac:dyDescent="0.3">
      <c r="A541" s="347">
        <f t="shared" ca="1" si="238"/>
        <v>1E-4</v>
      </c>
      <c r="B541" s="304">
        <f t="shared" ca="1" si="239"/>
        <v>33.102600000000287</v>
      </c>
      <c r="D541" s="306">
        <f t="shared" ca="1" si="240"/>
        <v>-0.74066933350438502</v>
      </c>
      <c r="E541" s="307">
        <f t="shared" ca="1" si="241"/>
        <v>-3.0244323614675235</v>
      </c>
      <c r="F541" s="304">
        <f t="shared" ca="1" si="242"/>
        <v>3.1138050951666596</v>
      </c>
      <c r="G541" s="306">
        <f t="shared" ca="1" si="243"/>
        <v>13.451399233664979</v>
      </c>
      <c r="H541" s="307">
        <f t="shared" ca="1" si="244"/>
        <v>-123.23462279407781</v>
      </c>
      <c r="I541" s="304">
        <f t="shared" ca="1" si="245"/>
        <v>123.96657773989763</v>
      </c>
      <c r="J541" s="306">
        <f t="shared" ca="1" si="246"/>
        <v>764.67878961306644</v>
      </c>
      <c r="K541" s="307">
        <f t="shared" ca="1" si="247"/>
        <v>-4.0254435462858549</v>
      </c>
      <c r="L541" s="304">
        <f t="shared" ca="1" si="232"/>
        <v>764.68938496611077</v>
      </c>
      <c r="M541" s="306">
        <f t="shared" ca="1" si="248"/>
        <v>-1.4620739876473028</v>
      </c>
      <c r="N541" s="304">
        <f t="shared" ca="1" si="249"/>
        <v>-83.770668828052905</v>
      </c>
      <c r="P541" s="310">
        <f t="shared" ca="1" si="250"/>
        <v>23</v>
      </c>
      <c r="Q541" s="304">
        <f t="shared" ca="1" si="251"/>
        <v>0</v>
      </c>
      <c r="R541" s="306">
        <f t="shared" ca="1" si="252"/>
        <v>0</v>
      </c>
      <c r="S541" s="307">
        <f t="shared" ca="1" si="253"/>
        <v>8.5499999999999989</v>
      </c>
      <c r="T541" s="304">
        <f t="shared" ca="1" si="233"/>
        <v>83.875499999999988</v>
      </c>
      <c r="U541" s="311">
        <f t="shared" ca="1" si="234"/>
        <v>0</v>
      </c>
      <c r="V541" s="306">
        <f t="shared" ca="1" si="235"/>
        <v>1.2254932161050993</v>
      </c>
      <c r="W541" s="304">
        <f t="shared" ca="1" si="236"/>
        <v>58.361547205182504</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2.9262050758325859</v>
      </c>
      <c r="AH541" s="304">
        <f t="shared" ca="1" si="260"/>
        <v>-6.8258713171794447</v>
      </c>
    </row>
    <row r="542" spans="1:34" x14ac:dyDescent="0.3">
      <c r="A542" s="347">
        <f t="shared" ca="1" si="238"/>
        <v>1E-4</v>
      </c>
      <c r="B542" s="304">
        <f t="shared" ca="1" si="239"/>
        <v>33.10270000000029</v>
      </c>
      <c r="D542" s="306">
        <f t="shared" ca="1" si="240"/>
        <v>-0.74066791629403739</v>
      </c>
      <c r="E542" s="307">
        <f t="shared" ca="1" si="241"/>
        <v>-3.0243913287672006</v>
      </c>
      <c r="F542" s="304">
        <f t="shared" ca="1" si="242"/>
        <v>3.1137649030955408</v>
      </c>
      <c r="G542" s="306">
        <f t="shared" ca="1" si="243"/>
        <v>13.45132516687335</v>
      </c>
      <c r="H542" s="307">
        <f t="shared" ca="1" si="244"/>
        <v>-123.23492523321069</v>
      </c>
      <c r="I542" s="304">
        <f t="shared" ca="1" si="245"/>
        <v>123.96687035647867</v>
      </c>
      <c r="J542" s="306">
        <f t="shared" ca="1" si="246"/>
        <v>764.67878961306644</v>
      </c>
      <c r="K542" s="307">
        <f t="shared" ca="1" si="247"/>
        <v>-4.037767023687219</v>
      </c>
      <c r="L542" s="304">
        <f t="shared" ca="1" si="232"/>
        <v>764.68944993810521</v>
      </c>
      <c r="M542" s="306">
        <f t="shared" ca="1" si="248"/>
        <v>-1.462074846317166</v>
      </c>
      <c r="N542" s="304">
        <f t="shared" ca="1" si="249"/>
        <v>-83.770718026212066</v>
      </c>
      <c r="P542" s="310">
        <f t="shared" ca="1" si="250"/>
        <v>23</v>
      </c>
      <c r="Q542" s="304">
        <f t="shared" ca="1" si="251"/>
        <v>0</v>
      </c>
      <c r="R542" s="306">
        <f t="shared" ca="1" si="252"/>
        <v>0</v>
      </c>
      <c r="S542" s="307">
        <f t="shared" ca="1" si="253"/>
        <v>8.5499999999999989</v>
      </c>
      <c r="T542" s="304">
        <f t="shared" ca="1" si="233"/>
        <v>83.875499999999988</v>
      </c>
      <c r="U542" s="311">
        <f t="shared" ca="1" si="234"/>
        <v>0</v>
      </c>
      <c r="V542" s="306">
        <f t="shared" ca="1" si="235"/>
        <v>1.225494726339887</v>
      </c>
      <c r="W542" s="304">
        <f t="shared" ca="1" si="236"/>
        <v>58.361894646335209</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2.9261653532274661</v>
      </c>
      <c r="AH542" s="304">
        <f t="shared" ca="1" si="260"/>
        <v>-6.8259119538225157</v>
      </c>
    </row>
    <row r="543" spans="1:34" x14ac:dyDescent="0.3">
      <c r="A543" s="347">
        <f t="shared" ca="1" si="238"/>
        <v>1E-4</v>
      </c>
      <c r="B543" s="304">
        <f t="shared" ca="1" si="239"/>
        <v>33.102800000000293</v>
      </c>
      <c r="D543" s="306">
        <f t="shared" ca="1" si="240"/>
        <v>-0.7406664990461298</v>
      </c>
      <c r="E543" s="307">
        <f t="shared" ca="1" si="241"/>
        <v>-3.0243502963202724</v>
      </c>
      <c r="F543" s="304">
        <f t="shared" ca="1" si="242"/>
        <v>3.1137247112841835</v>
      </c>
      <c r="G543" s="306">
        <f t="shared" ca="1" si="243"/>
        <v>13.451251100223445</v>
      </c>
      <c r="H543" s="307">
        <f t="shared" ca="1" si="244"/>
        <v>-123.23522766824033</v>
      </c>
      <c r="I543" s="304">
        <f t="shared" ca="1" si="245"/>
        <v>123.96716296908745</v>
      </c>
      <c r="J543" s="306">
        <f t="shared" ca="1" si="246"/>
        <v>764.67878961306644</v>
      </c>
      <c r="K543" s="307">
        <f t="shared" ca="1" si="247"/>
        <v>-4.0500905313322919</v>
      </c>
      <c r="L543" s="304">
        <f t="shared" ca="1" si="232"/>
        <v>764.68951510885529</v>
      </c>
      <c r="M543" s="306">
        <f t="shared" ca="1" si="248"/>
        <v>-1.4620757049782473</v>
      </c>
      <c r="N543" s="304">
        <f t="shared" ca="1" si="249"/>
        <v>-83.770767223868063</v>
      </c>
      <c r="P543" s="310">
        <f t="shared" ca="1" si="250"/>
        <v>23</v>
      </c>
      <c r="Q543" s="304">
        <f t="shared" ca="1" si="251"/>
        <v>0</v>
      </c>
      <c r="R543" s="306">
        <f t="shared" ca="1" si="252"/>
        <v>0</v>
      </c>
      <c r="S543" s="307">
        <f t="shared" ca="1" si="253"/>
        <v>8.5499999999999989</v>
      </c>
      <c r="T543" s="304">
        <f t="shared" ca="1" si="233"/>
        <v>83.875499999999988</v>
      </c>
      <c r="U543" s="311">
        <f t="shared" ca="1" si="234"/>
        <v>0</v>
      </c>
      <c r="V543" s="306">
        <f t="shared" ca="1" si="235"/>
        <v>1.2254962365802418</v>
      </c>
      <c r="W543" s="304">
        <f t="shared" ca="1" si="236"/>
        <v>58.362242085342302</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2.9261256308567516</v>
      </c>
      <c r="AH543" s="304">
        <f t="shared" ca="1" si="260"/>
        <v>-6.8259525902146452</v>
      </c>
    </row>
    <row r="544" spans="1:34" x14ac:dyDescent="0.3">
      <c r="A544" s="347">
        <f t="shared" ca="1" si="238"/>
        <v>1E-4</v>
      </c>
      <c r="B544" s="304">
        <f t="shared" ca="1" si="239"/>
        <v>33.102900000000297</v>
      </c>
      <c r="D544" s="306">
        <f t="shared" ca="1" si="240"/>
        <v>-0.74066508176066315</v>
      </c>
      <c r="E544" s="307">
        <f t="shared" ca="1" si="241"/>
        <v>-3.0243092641267477</v>
      </c>
      <c r="F544" s="304">
        <f t="shared" ca="1" si="242"/>
        <v>3.1136845197325949</v>
      </c>
      <c r="G544" s="306">
        <f t="shared" ca="1" si="243"/>
        <v>13.451177033715268</v>
      </c>
      <c r="H544" s="307">
        <f t="shared" ca="1" si="244"/>
        <v>-123.23553009916674</v>
      </c>
      <c r="I544" s="304">
        <f t="shared" ca="1" si="245"/>
        <v>123.96745557772402</v>
      </c>
      <c r="J544" s="306">
        <f t="shared" ca="1" si="246"/>
        <v>764.67878961306644</v>
      </c>
      <c r="K544" s="307">
        <f t="shared" ca="1" si="247"/>
        <v>-4.0624140692206625</v>
      </c>
      <c r="L544" s="304">
        <f t="shared" ca="1" si="232"/>
        <v>764.68958047836259</v>
      </c>
      <c r="M544" s="306">
        <f t="shared" ca="1" si="248"/>
        <v>-1.4620765636305473</v>
      </c>
      <c r="N544" s="304">
        <f t="shared" ca="1" si="249"/>
        <v>-83.770816421020911</v>
      </c>
      <c r="P544" s="310">
        <f t="shared" ca="1" si="250"/>
        <v>23</v>
      </c>
      <c r="Q544" s="304">
        <f t="shared" ca="1" si="251"/>
        <v>0</v>
      </c>
      <c r="R544" s="306">
        <f t="shared" ca="1" si="252"/>
        <v>0</v>
      </c>
      <c r="S544" s="307">
        <f t="shared" ca="1" si="253"/>
        <v>8.5499999999999989</v>
      </c>
      <c r="T544" s="304">
        <f t="shared" ca="1" si="233"/>
        <v>83.875499999999988</v>
      </c>
      <c r="U544" s="311">
        <f t="shared" ca="1" si="234"/>
        <v>0</v>
      </c>
      <c r="V544" s="306">
        <f t="shared" ca="1" si="235"/>
        <v>1.225497746826165</v>
      </c>
      <c r="W544" s="304">
        <f t="shared" ca="1" si="236"/>
        <v>58.362589522203812</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2.9260859087204443</v>
      </c>
      <c r="AH544" s="304">
        <f t="shared" ca="1" si="260"/>
        <v>-6.8259932263558261</v>
      </c>
    </row>
    <row r="545" spans="1:34" x14ac:dyDescent="0.3">
      <c r="A545" s="347">
        <f t="shared" ca="1" si="238"/>
        <v>1E-4</v>
      </c>
      <c r="B545" s="304">
        <f t="shared" ca="1" si="239"/>
        <v>33.1030000000003</v>
      </c>
      <c r="D545" s="306">
        <f t="shared" ca="1" si="240"/>
        <v>-0.7406636644376362</v>
      </c>
      <c r="E545" s="307">
        <f t="shared" ca="1" si="241"/>
        <v>-3.0242682321866212</v>
      </c>
      <c r="F545" s="304">
        <f t="shared" ca="1" si="242"/>
        <v>3.1136443284407709</v>
      </c>
      <c r="G545" s="306">
        <f t="shared" ca="1" si="243"/>
        <v>13.451102967348824</v>
      </c>
      <c r="H545" s="307">
        <f t="shared" ca="1" si="244"/>
        <v>-123.23583252598996</v>
      </c>
      <c r="I545" s="304">
        <f t="shared" ca="1" si="245"/>
        <v>123.96774818238842</v>
      </c>
      <c r="J545" s="306">
        <f t="shared" ca="1" si="246"/>
        <v>764.67878961306644</v>
      </c>
      <c r="K545" s="307">
        <f t="shared" ca="1" si="247"/>
        <v>-4.0747376373519204</v>
      </c>
      <c r="L545" s="304">
        <f t="shared" ca="1" si="232"/>
        <v>764.68964604662824</v>
      </c>
      <c r="M545" s="306">
        <f t="shared" ca="1" si="248"/>
        <v>-1.4620774222740658</v>
      </c>
      <c r="N545" s="304">
        <f t="shared" ca="1" si="249"/>
        <v>-83.770865617670637</v>
      </c>
      <c r="P545" s="310">
        <f t="shared" ca="1" si="250"/>
        <v>23</v>
      </c>
      <c r="Q545" s="304">
        <f t="shared" ca="1" si="251"/>
        <v>0</v>
      </c>
      <c r="R545" s="306">
        <f t="shared" ca="1" si="252"/>
        <v>0</v>
      </c>
      <c r="S545" s="307">
        <f t="shared" ca="1" si="253"/>
        <v>8.5499999999999989</v>
      </c>
      <c r="T545" s="304">
        <f t="shared" ca="1" si="233"/>
        <v>83.875499999999988</v>
      </c>
      <c r="U545" s="311">
        <f t="shared" ca="1" si="234"/>
        <v>0</v>
      </c>
      <c r="V545" s="306">
        <f t="shared" ca="1" si="235"/>
        <v>1.2254992570776557</v>
      </c>
      <c r="W545" s="304">
        <f t="shared" ca="1" si="236"/>
        <v>58.362936956919718</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2.9260461868185486</v>
      </c>
      <c r="AH545" s="304">
        <f t="shared" ca="1" si="260"/>
        <v>-6.826033862246061</v>
      </c>
    </row>
    <row r="546" spans="1:34" x14ac:dyDescent="0.3">
      <c r="A546" s="347">
        <f t="shared" ca="1" si="238"/>
        <v>1E-4</v>
      </c>
      <c r="B546" s="304">
        <f t="shared" ca="1" si="239"/>
        <v>33.103100000000303</v>
      </c>
      <c r="D546" s="306">
        <f t="shared" ca="1" si="240"/>
        <v>-0.74066224707705086</v>
      </c>
      <c r="E546" s="307">
        <f t="shared" ca="1" si="241"/>
        <v>-3.0242272004998965</v>
      </c>
      <c r="F546" s="304">
        <f t="shared" ca="1" si="242"/>
        <v>3.1136041374087147</v>
      </c>
      <c r="G546" s="306">
        <f t="shared" ca="1" si="243"/>
        <v>13.451028901124117</v>
      </c>
      <c r="H546" s="307">
        <f t="shared" ca="1" si="244"/>
        <v>-123.23613494871002</v>
      </c>
      <c r="I546" s="304">
        <f t="shared" ca="1" si="245"/>
        <v>123.96804078308064</v>
      </c>
      <c r="J546" s="306">
        <f t="shared" ca="1" si="246"/>
        <v>764.67878961306644</v>
      </c>
      <c r="K546" s="307">
        <f t="shared" ca="1" si="247"/>
        <v>-4.0870612357256553</v>
      </c>
      <c r="L546" s="304">
        <f t="shared" ca="1" si="232"/>
        <v>764.68971181365384</v>
      </c>
      <c r="M546" s="306">
        <f t="shared" ca="1" si="248"/>
        <v>-1.4620782809088031</v>
      </c>
      <c r="N546" s="304">
        <f t="shared" ca="1" si="249"/>
        <v>-83.770914813817228</v>
      </c>
      <c r="P546" s="310">
        <f t="shared" ca="1" si="250"/>
        <v>23</v>
      </c>
      <c r="Q546" s="304">
        <f t="shared" ca="1" si="251"/>
        <v>0</v>
      </c>
      <c r="R546" s="306">
        <f t="shared" ca="1" si="252"/>
        <v>0</v>
      </c>
      <c r="S546" s="307">
        <f t="shared" ca="1" si="253"/>
        <v>8.5499999999999989</v>
      </c>
      <c r="T546" s="304">
        <f t="shared" ca="1" si="233"/>
        <v>83.875499999999988</v>
      </c>
      <c r="U546" s="311">
        <f t="shared" ca="1" si="234"/>
        <v>0</v>
      </c>
      <c r="V546" s="306">
        <f t="shared" ca="1" si="235"/>
        <v>1.2255007673347145</v>
      </c>
      <c r="W546" s="304">
        <f t="shared" ca="1" si="236"/>
        <v>58.363284389490005</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2.9260064651510609</v>
      </c>
      <c r="AH546" s="304">
        <f t="shared" ca="1" si="260"/>
        <v>-6.8260744978853483</v>
      </c>
    </row>
    <row r="547" spans="1:34" x14ac:dyDescent="0.3">
      <c r="A547" s="347">
        <f t="shared" ca="1" si="238"/>
        <v>1E-4</v>
      </c>
      <c r="B547" s="304">
        <f t="shared" ca="1" si="239"/>
        <v>33.103200000000307</v>
      </c>
      <c r="D547" s="306">
        <f t="shared" ca="1" si="240"/>
        <v>-0.74066082967890678</v>
      </c>
      <c r="E547" s="307">
        <f t="shared" ca="1" si="241"/>
        <v>-3.0241861690665743</v>
      </c>
      <c r="F547" s="304">
        <f t="shared" ca="1" si="242"/>
        <v>3.113563946636428</v>
      </c>
      <c r="G547" s="306">
        <f t="shared" ca="1" si="243"/>
        <v>13.450954835041149</v>
      </c>
      <c r="H547" s="307">
        <f t="shared" ca="1" si="244"/>
        <v>-123.23643736732693</v>
      </c>
      <c r="I547" s="304">
        <f t="shared" ca="1" si="245"/>
        <v>123.96833337980071</v>
      </c>
      <c r="J547" s="306">
        <f t="shared" ca="1" si="246"/>
        <v>764.67878961306644</v>
      </c>
      <c r="K547" s="307">
        <f t="shared" ca="1" si="247"/>
        <v>-4.0993848643414568</v>
      </c>
      <c r="L547" s="304">
        <f t="shared" ca="1" si="232"/>
        <v>764.68977777944065</v>
      </c>
      <c r="M547" s="306">
        <f t="shared" ca="1" si="248"/>
        <v>-1.4620791395347592</v>
      </c>
      <c r="N547" s="304">
        <f t="shared" ca="1" si="249"/>
        <v>-83.770964009460684</v>
      </c>
      <c r="P547" s="310">
        <f t="shared" ca="1" si="250"/>
        <v>23</v>
      </c>
      <c r="Q547" s="304">
        <f t="shared" ca="1" si="251"/>
        <v>0</v>
      </c>
      <c r="R547" s="306">
        <f t="shared" ca="1" si="252"/>
        <v>0</v>
      </c>
      <c r="S547" s="307">
        <f t="shared" ca="1" si="253"/>
        <v>8.5499999999999989</v>
      </c>
      <c r="T547" s="304">
        <f t="shared" ca="1" si="233"/>
        <v>83.875499999999988</v>
      </c>
      <c r="U547" s="311">
        <f t="shared" ca="1" si="234"/>
        <v>0</v>
      </c>
      <c r="V547" s="306">
        <f t="shared" ca="1" si="235"/>
        <v>1.225502277597341</v>
      </c>
      <c r="W547" s="304">
        <f t="shared" ca="1" si="236"/>
        <v>58.363631819914652</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2.9259667437179866</v>
      </c>
      <c r="AH547" s="304">
        <f t="shared" ca="1" si="260"/>
        <v>-6.826115133273686</v>
      </c>
    </row>
    <row r="548" spans="1:34" x14ac:dyDescent="0.3">
      <c r="A548" s="347">
        <f t="shared" ca="1" si="238"/>
        <v>1E-4</v>
      </c>
      <c r="B548" s="304">
        <f t="shared" ca="1" si="239"/>
        <v>33.10330000000031</v>
      </c>
      <c r="D548" s="306">
        <f t="shared" ca="1" si="240"/>
        <v>-0.74065941224320575</v>
      </c>
      <c r="E548" s="307">
        <f t="shared" ca="1" si="241"/>
        <v>-3.0241451378866575</v>
      </c>
      <c r="F548" s="304">
        <f t="shared" ca="1" si="242"/>
        <v>3.1135237561239135</v>
      </c>
      <c r="G548" s="306">
        <f t="shared" ca="1" si="243"/>
        <v>13.450880769099925</v>
      </c>
      <c r="H548" s="307">
        <f t="shared" ca="1" si="244"/>
        <v>-123.23673978184071</v>
      </c>
      <c r="I548" s="304">
        <f t="shared" ca="1" si="245"/>
        <v>123.96862597254865</v>
      </c>
      <c r="J548" s="306">
        <f t="shared" ca="1" si="246"/>
        <v>764.67878961306644</v>
      </c>
      <c r="K548" s="307">
        <f t="shared" ca="1" si="247"/>
        <v>-4.1117085231989154</v>
      </c>
      <c r="L548" s="304">
        <f t="shared" ca="1" si="232"/>
        <v>764.68984394399024</v>
      </c>
      <c r="M548" s="306">
        <f t="shared" ca="1" si="248"/>
        <v>-1.4620799981519343</v>
      </c>
      <c r="N548" s="304">
        <f t="shared" ca="1" si="249"/>
        <v>-83.771013204601047</v>
      </c>
      <c r="P548" s="310">
        <f t="shared" ca="1" si="250"/>
        <v>23</v>
      </c>
      <c r="Q548" s="304">
        <f t="shared" ca="1" si="251"/>
        <v>0</v>
      </c>
      <c r="R548" s="306">
        <f t="shared" ca="1" si="252"/>
        <v>0</v>
      </c>
      <c r="S548" s="307">
        <f t="shared" ca="1" si="253"/>
        <v>8.5499999999999989</v>
      </c>
      <c r="T548" s="304">
        <f t="shared" ca="1" si="233"/>
        <v>83.875499999999988</v>
      </c>
      <c r="U548" s="311">
        <f t="shared" ca="1" si="234"/>
        <v>0</v>
      </c>
      <c r="V548" s="306">
        <f t="shared" ca="1" si="235"/>
        <v>1.225503787865535</v>
      </c>
      <c r="W548" s="304">
        <f t="shared" ca="1" si="236"/>
        <v>58.36397924819363</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2.9259270225193283</v>
      </c>
      <c r="AH548" s="304">
        <f t="shared" ca="1" si="260"/>
        <v>-6.8261557684110716</v>
      </c>
    </row>
    <row r="549" spans="1:34" x14ac:dyDescent="0.3">
      <c r="A549" s="347">
        <f t="shared" ca="1" si="238"/>
        <v>1E-4</v>
      </c>
      <c r="B549" s="304">
        <f t="shared" ca="1" si="239"/>
        <v>33.103400000000313</v>
      </c>
      <c r="D549" s="306">
        <f t="shared" ca="1" si="240"/>
        <v>-0.74065799476994731</v>
      </c>
      <c r="E549" s="307">
        <f t="shared" ca="1" si="241"/>
        <v>-3.0241041069601504</v>
      </c>
      <c r="F549" s="304">
        <f t="shared" ca="1" si="242"/>
        <v>3.1134835658711753</v>
      </c>
      <c r="G549" s="306">
        <f t="shared" ca="1" si="243"/>
        <v>13.450806703300447</v>
      </c>
      <c r="H549" s="307">
        <f t="shared" ca="1" si="244"/>
        <v>-123.23704219225141</v>
      </c>
      <c r="I549" s="304">
        <f t="shared" ca="1" si="245"/>
        <v>123.9689185613245</v>
      </c>
      <c r="J549" s="306">
        <f t="shared" ca="1" si="246"/>
        <v>764.67878961306644</v>
      </c>
      <c r="K549" s="307">
        <f t="shared" ca="1" si="247"/>
        <v>-4.1240322122976201</v>
      </c>
      <c r="L549" s="304">
        <f t="shared" ca="1" si="232"/>
        <v>764.68991030730388</v>
      </c>
      <c r="M549" s="306">
        <f t="shared" ca="1" si="248"/>
        <v>-1.4620808567603287</v>
      </c>
      <c r="N549" s="304">
        <f t="shared" ca="1" si="249"/>
        <v>-83.771062399238289</v>
      </c>
      <c r="P549" s="310">
        <f t="shared" ca="1" si="250"/>
        <v>23</v>
      </c>
      <c r="Q549" s="304">
        <f t="shared" ca="1" si="251"/>
        <v>0</v>
      </c>
      <c r="R549" s="306">
        <f t="shared" ca="1" si="252"/>
        <v>0</v>
      </c>
      <c r="S549" s="307">
        <f t="shared" ca="1" si="253"/>
        <v>8.5499999999999989</v>
      </c>
      <c r="T549" s="304">
        <f t="shared" ca="1" si="233"/>
        <v>83.875499999999988</v>
      </c>
      <c r="U549" s="311">
        <f t="shared" ca="1" si="234"/>
        <v>0</v>
      </c>
      <c r="V549" s="306">
        <f t="shared" ca="1" si="235"/>
        <v>1.2255052981392967</v>
      </c>
      <c r="W549" s="304">
        <f t="shared" ca="1" si="236"/>
        <v>58.364326674326939</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2.9258873015550897</v>
      </c>
      <c r="AH549" s="304">
        <f t="shared" ca="1" si="260"/>
        <v>-6.8261964032975015</v>
      </c>
    </row>
    <row r="550" spans="1:34" x14ac:dyDescent="0.3">
      <c r="A550" s="347">
        <f t="shared" ca="1" si="238"/>
        <v>1E-4</v>
      </c>
      <c r="B550" s="304">
        <f t="shared" ca="1" si="239"/>
        <v>33.103500000000317</v>
      </c>
      <c r="D550" s="306">
        <f t="shared" ca="1" si="240"/>
        <v>-0.74065657725913181</v>
      </c>
      <c r="E550" s="307">
        <f t="shared" ca="1" si="241"/>
        <v>-3.0240630762870513</v>
      </c>
      <c r="F550" s="304">
        <f t="shared" ca="1" si="242"/>
        <v>3.1134433758782118</v>
      </c>
      <c r="G550" s="306">
        <f t="shared" ca="1" si="243"/>
        <v>13.450732637642721</v>
      </c>
      <c r="H550" s="307">
        <f t="shared" ca="1" si="244"/>
        <v>-123.23734459855903</v>
      </c>
      <c r="I550" s="304">
        <f t="shared" ca="1" si="245"/>
        <v>123.96921114612827</v>
      </c>
      <c r="J550" s="306">
        <f t="shared" ca="1" si="246"/>
        <v>764.67878961306644</v>
      </c>
      <c r="K550" s="307">
        <f t="shared" ca="1" si="247"/>
        <v>-4.1363559316371603</v>
      </c>
      <c r="L550" s="304">
        <f t="shared" ca="1" si="232"/>
        <v>764.68997686938303</v>
      </c>
      <c r="M550" s="306">
        <f t="shared" ca="1" si="248"/>
        <v>-1.4620817153599424</v>
      </c>
      <c r="N550" s="304">
        <f t="shared" ca="1" si="249"/>
        <v>-83.771111593372439</v>
      </c>
      <c r="P550" s="310">
        <f t="shared" ca="1" si="250"/>
        <v>23</v>
      </c>
      <c r="Q550" s="304">
        <f t="shared" ca="1" si="251"/>
        <v>0</v>
      </c>
      <c r="R550" s="306">
        <f t="shared" ca="1" si="252"/>
        <v>0</v>
      </c>
      <c r="S550" s="307">
        <f t="shared" ca="1" si="253"/>
        <v>8.5499999999999989</v>
      </c>
      <c r="T550" s="304">
        <f t="shared" ca="1" si="233"/>
        <v>83.875499999999988</v>
      </c>
      <c r="U550" s="311">
        <f t="shared" ca="1" si="234"/>
        <v>0</v>
      </c>
      <c r="V550" s="306">
        <f t="shared" ca="1" si="235"/>
        <v>1.2255068084186262</v>
      </c>
      <c r="W550" s="304">
        <f t="shared" ca="1" si="236"/>
        <v>58.364674098314588</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2.9258475808252697</v>
      </c>
      <c r="AH550" s="304">
        <f t="shared" ca="1" si="260"/>
        <v>-6.8262370379329766</v>
      </c>
    </row>
    <row r="551" spans="1:34" x14ac:dyDescent="0.3">
      <c r="A551" s="347">
        <f t="shared" ca="1" si="238"/>
        <v>1E-4</v>
      </c>
      <c r="B551" s="304">
        <f t="shared" ca="1" si="239"/>
        <v>33.10360000000032</v>
      </c>
      <c r="D551" s="306">
        <f t="shared" ca="1" si="240"/>
        <v>-0.74065515971076101</v>
      </c>
      <c r="E551" s="307">
        <f t="shared" ca="1" si="241"/>
        <v>-3.024022045867361</v>
      </c>
      <c r="F551" s="304">
        <f t="shared" ca="1" si="242"/>
        <v>3.1134031861450251</v>
      </c>
      <c r="G551" s="306">
        <f t="shared" ca="1" si="243"/>
        <v>13.45065857212675</v>
      </c>
      <c r="H551" s="307">
        <f t="shared" ca="1" si="244"/>
        <v>-123.23764700076362</v>
      </c>
      <c r="I551" s="304">
        <f t="shared" ca="1" si="245"/>
        <v>123.96950372696</v>
      </c>
      <c r="J551" s="306">
        <f t="shared" ca="1" si="246"/>
        <v>764.67878961306644</v>
      </c>
      <c r="K551" s="307">
        <f t="shared" ca="1" si="247"/>
        <v>-4.1486796812171267</v>
      </c>
      <c r="L551" s="304">
        <f t="shared" ca="1" si="232"/>
        <v>764.69004363022907</v>
      </c>
      <c r="M551" s="306">
        <f t="shared" ca="1" si="248"/>
        <v>-1.4620825739507752</v>
      </c>
      <c r="N551" s="304">
        <f t="shared" ca="1" si="249"/>
        <v>-83.771160787003495</v>
      </c>
      <c r="P551" s="310">
        <f t="shared" ca="1" si="250"/>
        <v>23</v>
      </c>
      <c r="Q551" s="304">
        <f t="shared" ca="1" si="251"/>
        <v>0</v>
      </c>
      <c r="R551" s="306">
        <f t="shared" ca="1" si="252"/>
        <v>0</v>
      </c>
      <c r="S551" s="307">
        <f t="shared" ca="1" si="253"/>
        <v>8.5499999999999989</v>
      </c>
      <c r="T551" s="304">
        <f t="shared" ca="1" si="233"/>
        <v>83.875499999999988</v>
      </c>
      <c r="U551" s="311">
        <f t="shared" ca="1" si="234"/>
        <v>0</v>
      </c>
      <c r="V551" s="306">
        <f t="shared" ca="1" si="235"/>
        <v>1.2255083187035229</v>
      </c>
      <c r="W551" s="304">
        <f t="shared" ca="1" si="236"/>
        <v>58.365021520156532</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2.9258078603298694</v>
      </c>
      <c r="AH551" s="304">
        <f t="shared" ca="1" si="260"/>
        <v>-6.826277672317496</v>
      </c>
    </row>
    <row r="552" spans="1:34" x14ac:dyDescent="0.3">
      <c r="A552" s="347">
        <f t="shared" ca="1" si="238"/>
        <v>1E-4</v>
      </c>
      <c r="B552" s="304">
        <f t="shared" ca="1" si="239"/>
        <v>33.103700000000323</v>
      </c>
      <c r="D552" s="306">
        <f t="shared" ca="1" si="240"/>
        <v>-0.74065374212483626</v>
      </c>
      <c r="E552" s="307">
        <f t="shared" ca="1" si="241"/>
        <v>-3.023981015701084</v>
      </c>
      <c r="F552" s="304">
        <f t="shared" ca="1" si="242"/>
        <v>3.113362996671619</v>
      </c>
      <c r="G552" s="306">
        <f t="shared" ca="1" si="243"/>
        <v>13.450584506752538</v>
      </c>
      <c r="H552" s="307">
        <f t="shared" ca="1" si="244"/>
        <v>-123.23794939886518</v>
      </c>
      <c r="I552" s="304">
        <f t="shared" ca="1" si="245"/>
        <v>123.96979630381969</v>
      </c>
      <c r="J552" s="306">
        <f t="shared" ca="1" si="246"/>
        <v>764.67878961306644</v>
      </c>
      <c r="K552" s="307">
        <f t="shared" ca="1" si="247"/>
        <v>-4.1610034610371081</v>
      </c>
      <c r="L552" s="304">
        <f t="shared" ca="1" si="232"/>
        <v>764.69011058984347</v>
      </c>
      <c r="M552" s="306">
        <f t="shared" ca="1" si="248"/>
        <v>-1.462083432532828</v>
      </c>
      <c r="N552" s="304">
        <f t="shared" ca="1" si="249"/>
        <v>-83.771209980131488</v>
      </c>
      <c r="P552" s="310">
        <f t="shared" ca="1" si="250"/>
        <v>23</v>
      </c>
      <c r="Q552" s="304">
        <f t="shared" ca="1" si="251"/>
        <v>0</v>
      </c>
      <c r="R552" s="306">
        <f t="shared" ca="1" si="252"/>
        <v>0</v>
      </c>
      <c r="S552" s="307">
        <f t="shared" ca="1" si="253"/>
        <v>8.5499999999999989</v>
      </c>
      <c r="T552" s="304">
        <f t="shared" ca="1" si="233"/>
        <v>83.875499999999988</v>
      </c>
      <c r="U552" s="311">
        <f t="shared" ca="1" si="234"/>
        <v>0</v>
      </c>
      <c r="V552" s="306">
        <f t="shared" ca="1" si="235"/>
        <v>1.2255098289939879</v>
      </c>
      <c r="W552" s="304">
        <f t="shared" ca="1" si="236"/>
        <v>58.365368939852786</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2.9257681400688931</v>
      </c>
      <c r="AH552" s="304">
        <f t="shared" ca="1" si="260"/>
        <v>-6.8263183064510571</v>
      </c>
    </row>
    <row r="553" spans="1:34" x14ac:dyDescent="0.3">
      <c r="A553" s="347">
        <f t="shared" ca="1" si="238"/>
        <v>1E-4</v>
      </c>
      <c r="B553" s="304">
        <f t="shared" ca="1" si="239"/>
        <v>33.103800000000327</v>
      </c>
      <c r="D553" s="306">
        <f t="shared" ca="1" si="240"/>
        <v>-0.74065232450135465</v>
      </c>
      <c r="E553" s="307">
        <f t="shared" ca="1" si="241"/>
        <v>-3.0239399857882177</v>
      </c>
      <c r="F553" s="304">
        <f t="shared" ca="1" si="242"/>
        <v>3.1133228074579908</v>
      </c>
      <c r="G553" s="306">
        <f t="shared" ca="1" si="243"/>
        <v>13.450510441520088</v>
      </c>
      <c r="H553" s="307">
        <f t="shared" ca="1" si="244"/>
        <v>-123.23825179286376</v>
      </c>
      <c r="I553" s="304">
        <f t="shared" ca="1" si="245"/>
        <v>123.97008887670738</v>
      </c>
      <c r="J553" s="306">
        <f t="shared" ca="1" si="246"/>
        <v>764.67878961306644</v>
      </c>
      <c r="K553" s="307">
        <f t="shared" ca="1" si="247"/>
        <v>-4.1733272710966949</v>
      </c>
      <c r="L553" s="304">
        <f t="shared" ca="1" si="232"/>
        <v>764.6901777482276</v>
      </c>
      <c r="M553" s="306">
        <f t="shared" ca="1" si="248"/>
        <v>-1.4620842911061003</v>
      </c>
      <c r="N553" s="304">
        <f t="shared" ca="1" si="249"/>
        <v>-83.771259172756388</v>
      </c>
      <c r="P553" s="310">
        <f t="shared" ca="1" si="250"/>
        <v>23</v>
      </c>
      <c r="Q553" s="304">
        <f t="shared" ca="1" si="251"/>
        <v>0</v>
      </c>
      <c r="R553" s="306">
        <f t="shared" ca="1" si="252"/>
        <v>0</v>
      </c>
      <c r="S553" s="307">
        <f t="shared" ca="1" si="253"/>
        <v>8.5499999999999989</v>
      </c>
      <c r="T553" s="304">
        <f t="shared" ca="1" si="233"/>
        <v>83.875499999999988</v>
      </c>
      <c r="U553" s="311">
        <f t="shared" ca="1" si="234"/>
        <v>0</v>
      </c>
      <c r="V553" s="306">
        <f t="shared" ca="1" si="235"/>
        <v>1.2255113392900194</v>
      </c>
      <c r="W553" s="304">
        <f t="shared" ca="1" si="236"/>
        <v>58.365716357403272</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2.9257284200423408</v>
      </c>
      <c r="AH553" s="304">
        <f t="shared" ca="1" si="260"/>
        <v>-6.8263589403336598</v>
      </c>
    </row>
    <row r="554" spans="1:34" x14ac:dyDescent="0.3">
      <c r="A554" s="347">
        <f t="shared" ca="1" si="238"/>
        <v>1E-4</v>
      </c>
      <c r="B554" s="304">
        <f t="shared" ca="1" si="239"/>
        <v>33.10390000000033</v>
      </c>
      <c r="D554" s="306">
        <f t="shared" ca="1" si="240"/>
        <v>-0.7406509068403202</v>
      </c>
      <c r="E554" s="307">
        <f t="shared" ca="1" si="241"/>
        <v>-3.0238989561287717</v>
      </c>
      <c r="F554" s="304">
        <f t="shared" ca="1" si="242"/>
        <v>3.1132826185041509</v>
      </c>
      <c r="G554" s="306">
        <f t="shared" ca="1" si="243"/>
        <v>13.450436376429403</v>
      </c>
      <c r="H554" s="307">
        <f t="shared" ca="1" si="244"/>
        <v>-123.23855418275937</v>
      </c>
      <c r="I554" s="304">
        <f t="shared" ca="1" si="245"/>
        <v>123.9703814456231</v>
      </c>
      <c r="J554" s="306">
        <f t="shared" ca="1" si="246"/>
        <v>764.67878961306644</v>
      </c>
      <c r="K554" s="307">
        <f t="shared" ca="1" si="247"/>
        <v>-4.185651111395476</v>
      </c>
      <c r="L554" s="304">
        <f t="shared" ca="1" si="232"/>
        <v>764.69024510538293</v>
      </c>
      <c r="M554" s="306">
        <f t="shared" ca="1" si="248"/>
        <v>-1.4620851496705922</v>
      </c>
      <c r="N554" s="304">
        <f t="shared" ca="1" si="249"/>
        <v>-83.771308364878223</v>
      </c>
      <c r="P554" s="310">
        <f t="shared" ca="1" si="250"/>
        <v>23</v>
      </c>
      <c r="Q554" s="304">
        <f t="shared" ca="1" si="251"/>
        <v>0</v>
      </c>
      <c r="R554" s="306">
        <f t="shared" ca="1" si="252"/>
        <v>0</v>
      </c>
      <c r="S554" s="307">
        <f t="shared" ca="1" si="253"/>
        <v>8.5499999999999989</v>
      </c>
      <c r="T554" s="304">
        <f t="shared" ca="1" si="233"/>
        <v>83.875499999999988</v>
      </c>
      <c r="U554" s="311">
        <f t="shared" ca="1" si="234"/>
        <v>0</v>
      </c>
      <c r="V554" s="306">
        <f t="shared" ca="1" si="235"/>
        <v>1.2255128495916192</v>
      </c>
      <c r="W554" s="304">
        <f t="shared" ca="1" si="236"/>
        <v>58.36606377280809</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2.9256887002502188</v>
      </c>
      <c r="AH554" s="304">
        <f t="shared" ca="1" si="260"/>
        <v>-6.8263995739652961</v>
      </c>
    </row>
    <row r="555" spans="1:34" x14ac:dyDescent="0.3">
      <c r="A555" s="347">
        <f t="shared" ca="1" si="238"/>
        <v>1E-4</v>
      </c>
      <c r="B555" s="304">
        <f t="shared" ca="1" si="239"/>
        <v>33.104000000000333</v>
      </c>
      <c r="D555" s="306">
        <f t="shared" ca="1" si="240"/>
        <v>-0.74064948914173423</v>
      </c>
      <c r="E555" s="307">
        <f t="shared" ca="1" si="241"/>
        <v>-3.0238579267227346</v>
      </c>
      <c r="F555" s="304">
        <f t="shared" ca="1" si="242"/>
        <v>3.1132424298100889</v>
      </c>
      <c r="G555" s="306">
        <f t="shared" ca="1" si="243"/>
        <v>13.45036231148049</v>
      </c>
      <c r="H555" s="307">
        <f t="shared" ca="1" si="244"/>
        <v>-123.23885656855205</v>
      </c>
      <c r="I555" s="304">
        <f t="shared" ca="1" si="245"/>
        <v>123.97067401056687</v>
      </c>
      <c r="J555" s="306">
        <f t="shared" ca="1" si="246"/>
        <v>764.67878961306644</v>
      </c>
      <c r="K555" s="307">
        <f t="shared" ca="1" si="247"/>
        <v>-4.1979749819330419</v>
      </c>
      <c r="L555" s="304">
        <f t="shared" ca="1" si="232"/>
        <v>764.69031266131083</v>
      </c>
      <c r="M555" s="306">
        <f t="shared" ca="1" si="248"/>
        <v>-1.4620860082263043</v>
      </c>
      <c r="N555" s="304">
        <f t="shared" ca="1" si="249"/>
        <v>-83.771357556496994</v>
      </c>
      <c r="P555" s="310">
        <f t="shared" ca="1" si="250"/>
        <v>23</v>
      </c>
      <c r="Q555" s="304">
        <f t="shared" ca="1" si="251"/>
        <v>0</v>
      </c>
      <c r="R555" s="306">
        <f t="shared" ca="1" si="252"/>
        <v>0</v>
      </c>
      <c r="S555" s="307">
        <f t="shared" ca="1" si="253"/>
        <v>8.5499999999999989</v>
      </c>
      <c r="T555" s="304">
        <f t="shared" ca="1" si="233"/>
        <v>83.875499999999988</v>
      </c>
      <c r="U555" s="311">
        <f t="shared" ca="1" si="234"/>
        <v>0</v>
      </c>
      <c r="V555" s="306">
        <f t="shared" ca="1" si="235"/>
        <v>1.2255143598987863</v>
      </c>
      <c r="W555" s="304">
        <f t="shared" ca="1" si="236"/>
        <v>58.366411186067147</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2.9256489806925199</v>
      </c>
      <c r="AH555" s="304">
        <f t="shared" ca="1" si="260"/>
        <v>-6.8264402073459767</v>
      </c>
    </row>
    <row r="556" spans="1:34" x14ac:dyDescent="0.3">
      <c r="A556" s="347">
        <f t="shared" ca="1" si="238"/>
        <v>1E-4</v>
      </c>
      <c r="B556" s="304">
        <f t="shared" ca="1" si="239"/>
        <v>33.104100000000336</v>
      </c>
      <c r="D556" s="306">
        <f t="shared" ca="1" si="240"/>
        <v>-0.7406480714055943</v>
      </c>
      <c r="E556" s="307">
        <f t="shared" ca="1" si="241"/>
        <v>-3.0238168975701178</v>
      </c>
      <c r="F556" s="304">
        <f t="shared" ca="1" si="242"/>
        <v>3.1132022413758147</v>
      </c>
      <c r="G556" s="306">
        <f t="shared" ca="1" si="243"/>
        <v>13.450288246673349</v>
      </c>
      <c r="H556" s="307">
        <f t="shared" ca="1" si="244"/>
        <v>-123.23915895024182</v>
      </c>
      <c r="I556" s="304">
        <f t="shared" ca="1" si="245"/>
        <v>123.97096657153871</v>
      </c>
      <c r="J556" s="306">
        <f t="shared" ca="1" si="246"/>
        <v>764.67878961306644</v>
      </c>
      <c r="K556" s="307">
        <f t="shared" ca="1" si="247"/>
        <v>-4.2102988827089813</v>
      </c>
      <c r="L556" s="304">
        <f t="shared" ca="1" si="232"/>
        <v>764.69038041601266</v>
      </c>
      <c r="M556" s="306">
        <f t="shared" ca="1" si="248"/>
        <v>-1.4620868667732365</v>
      </c>
      <c r="N556" s="304">
        <f t="shared" ca="1" si="249"/>
        <v>-83.77140674761273</v>
      </c>
      <c r="P556" s="310">
        <f t="shared" ca="1" si="250"/>
        <v>23</v>
      </c>
      <c r="Q556" s="304">
        <f t="shared" ca="1" si="251"/>
        <v>0</v>
      </c>
      <c r="R556" s="306">
        <f t="shared" ca="1" si="252"/>
        <v>0</v>
      </c>
      <c r="S556" s="307">
        <f t="shared" ca="1" si="253"/>
        <v>8.5499999999999989</v>
      </c>
      <c r="T556" s="304">
        <f t="shared" ca="1" si="233"/>
        <v>83.875499999999988</v>
      </c>
      <c r="U556" s="311">
        <f t="shared" ca="1" si="234"/>
        <v>0</v>
      </c>
      <c r="V556" s="306">
        <f t="shared" ca="1" si="235"/>
        <v>1.2255158702115208</v>
      </c>
      <c r="W556" s="304">
        <f t="shared" ca="1" si="236"/>
        <v>58.366758597180436</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2.9256092613692548</v>
      </c>
      <c r="AH556" s="304">
        <f t="shared" ca="1" si="260"/>
        <v>-6.8264808404756909</v>
      </c>
    </row>
    <row r="557" spans="1:34" x14ac:dyDescent="0.3">
      <c r="A557" s="347">
        <f t="shared" ca="1" si="238"/>
        <v>1E-4</v>
      </c>
      <c r="B557" s="304">
        <f t="shared" ca="1" si="239"/>
        <v>33.10420000000034</v>
      </c>
      <c r="D557" s="306">
        <f t="shared" ca="1" si="240"/>
        <v>-0.74064665363190196</v>
      </c>
      <c r="E557" s="307">
        <f t="shared" ca="1" si="241"/>
        <v>-3.0237758686709215</v>
      </c>
      <c r="F557" s="304">
        <f t="shared" ca="1" si="242"/>
        <v>3.11316205320133</v>
      </c>
      <c r="G557" s="306">
        <f t="shared" ca="1" si="243"/>
        <v>13.450214182007986</v>
      </c>
      <c r="H557" s="307">
        <f t="shared" ca="1" si="244"/>
        <v>-123.23946132782868</v>
      </c>
      <c r="I557" s="304">
        <f t="shared" ca="1" si="245"/>
        <v>123.97125912853862</v>
      </c>
      <c r="J557" s="306">
        <f t="shared" ca="1" si="246"/>
        <v>764.67878961306644</v>
      </c>
      <c r="K557" s="307">
        <f t="shared" ca="1" si="247"/>
        <v>-4.2226228137228849</v>
      </c>
      <c r="L557" s="304">
        <f t="shared" ca="1" si="232"/>
        <v>764.69044836948979</v>
      </c>
      <c r="M557" s="306">
        <f t="shared" ca="1" si="248"/>
        <v>-1.4620877253113891</v>
      </c>
      <c r="N557" s="304">
        <f t="shared" ca="1" si="249"/>
        <v>-83.771455938225415</v>
      </c>
      <c r="P557" s="310">
        <f t="shared" ca="1" si="250"/>
        <v>23</v>
      </c>
      <c r="Q557" s="304">
        <f t="shared" ca="1" si="251"/>
        <v>0</v>
      </c>
      <c r="R557" s="306">
        <f t="shared" ca="1" si="252"/>
        <v>0</v>
      </c>
      <c r="S557" s="307">
        <f t="shared" ca="1" si="253"/>
        <v>8.5499999999999989</v>
      </c>
      <c r="T557" s="304">
        <f t="shared" ca="1" si="233"/>
        <v>83.875499999999988</v>
      </c>
      <c r="U557" s="311">
        <f t="shared" ca="1" si="234"/>
        <v>0</v>
      </c>
      <c r="V557" s="306">
        <f t="shared" ca="1" si="235"/>
        <v>1.2255173805298225</v>
      </c>
      <c r="W557" s="304">
        <f t="shared" ca="1" si="236"/>
        <v>58.367106006147942</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2.9255695422804227</v>
      </c>
      <c r="AH557" s="304">
        <f t="shared" ca="1" si="260"/>
        <v>-6.8265214733544379</v>
      </c>
    </row>
    <row r="558" spans="1:34" x14ac:dyDescent="0.3">
      <c r="A558" s="347">
        <f t="shared" ca="1" si="238"/>
        <v>1E-4</v>
      </c>
      <c r="B558" s="304">
        <f t="shared" ca="1" si="239"/>
        <v>33.104300000000343</v>
      </c>
      <c r="D558" s="306">
        <f t="shared" ca="1" si="240"/>
        <v>-0.74064523582065733</v>
      </c>
      <c r="E558" s="307">
        <f t="shared" ca="1" si="241"/>
        <v>-3.0237348400251483</v>
      </c>
      <c r="F558" s="304">
        <f t="shared" ca="1" si="242"/>
        <v>3.1131218652866366</v>
      </c>
      <c r="G558" s="306">
        <f t="shared" ca="1" si="243"/>
        <v>13.450140117484404</v>
      </c>
      <c r="H558" s="307">
        <f t="shared" ca="1" si="244"/>
        <v>-123.23976370131268</v>
      </c>
      <c r="I558" s="304">
        <f t="shared" ca="1" si="245"/>
        <v>123.97155168156664</v>
      </c>
      <c r="J558" s="306">
        <f t="shared" ca="1" si="246"/>
        <v>764.67878961306644</v>
      </c>
      <c r="K558" s="307">
        <f t="shared" ca="1" si="247"/>
        <v>-4.2349467749743424</v>
      </c>
      <c r="L558" s="304">
        <f t="shared" ca="1" si="232"/>
        <v>764.69051652174369</v>
      </c>
      <c r="M558" s="306">
        <f t="shared" ca="1" si="248"/>
        <v>-1.462088583840762</v>
      </c>
      <c r="N558" s="304">
        <f t="shared" ca="1" si="249"/>
        <v>-83.771505128335079</v>
      </c>
      <c r="P558" s="310">
        <f t="shared" ca="1" si="250"/>
        <v>23</v>
      </c>
      <c r="Q558" s="304">
        <f t="shared" ca="1" si="251"/>
        <v>0</v>
      </c>
      <c r="R558" s="306">
        <f t="shared" ca="1" si="252"/>
        <v>0</v>
      </c>
      <c r="S558" s="307">
        <f t="shared" ca="1" si="253"/>
        <v>8.5499999999999989</v>
      </c>
      <c r="T558" s="304">
        <f t="shared" ca="1" si="233"/>
        <v>83.875499999999988</v>
      </c>
      <c r="U558" s="311">
        <f t="shared" ca="1" si="234"/>
        <v>0</v>
      </c>
      <c r="V558" s="306">
        <f t="shared" ca="1" si="235"/>
        <v>1.2255188908536916</v>
      </c>
      <c r="W558" s="304">
        <f t="shared" ca="1" si="236"/>
        <v>58.367453412969645</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2.925529823426027</v>
      </c>
      <c r="AH558" s="304">
        <f t="shared" ca="1" si="260"/>
        <v>-6.8265621059822159</v>
      </c>
    </row>
    <row r="559" spans="1:34" x14ac:dyDescent="0.3">
      <c r="A559" s="347">
        <f t="shared" ca="1" si="238"/>
        <v>1E-4</v>
      </c>
      <c r="B559" s="304">
        <f t="shared" ca="1" si="239"/>
        <v>33.104400000000346</v>
      </c>
      <c r="D559" s="306">
        <f t="shared" ca="1" si="240"/>
        <v>-0.74064381797186196</v>
      </c>
      <c r="E559" s="307">
        <f t="shared" ca="1" si="241"/>
        <v>-3.023693811632798</v>
      </c>
      <c r="F559" s="304">
        <f t="shared" ca="1" si="242"/>
        <v>3.1130816776317345</v>
      </c>
      <c r="G559" s="306">
        <f t="shared" ca="1" si="243"/>
        <v>13.450066053102606</v>
      </c>
      <c r="H559" s="307">
        <f t="shared" ca="1" si="244"/>
        <v>-123.24006607069384</v>
      </c>
      <c r="I559" s="304">
        <f t="shared" ca="1" si="245"/>
        <v>123.97184423062282</v>
      </c>
      <c r="J559" s="306">
        <f t="shared" ca="1" si="246"/>
        <v>764.67878961306644</v>
      </c>
      <c r="K559" s="307">
        <f t="shared" ca="1" si="247"/>
        <v>-4.2472707664629423</v>
      </c>
      <c r="L559" s="304">
        <f t="shared" ca="1" si="232"/>
        <v>764.69058487277584</v>
      </c>
      <c r="M559" s="306">
        <f t="shared" ca="1" si="248"/>
        <v>-1.4620894423613553</v>
      </c>
      <c r="N559" s="304">
        <f t="shared" ca="1" si="249"/>
        <v>-83.771554317941693</v>
      </c>
      <c r="P559" s="310">
        <f t="shared" ca="1" si="250"/>
        <v>23</v>
      </c>
      <c r="Q559" s="304">
        <f t="shared" ca="1" si="251"/>
        <v>0</v>
      </c>
      <c r="R559" s="306">
        <f t="shared" ca="1" si="252"/>
        <v>0</v>
      </c>
      <c r="S559" s="307">
        <f t="shared" ca="1" si="253"/>
        <v>8.5499999999999989</v>
      </c>
      <c r="T559" s="304">
        <f t="shared" ca="1" si="233"/>
        <v>83.875499999999988</v>
      </c>
      <c r="U559" s="311">
        <f t="shared" ca="1" si="234"/>
        <v>0</v>
      </c>
      <c r="V559" s="306">
        <f t="shared" ca="1" si="235"/>
        <v>1.2255204011831284</v>
      </c>
      <c r="W559" s="304">
        <f t="shared" ca="1" si="236"/>
        <v>58.367800817645595</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2.9254901048060686</v>
      </c>
      <c r="AH559" s="304">
        <f t="shared" ca="1" si="260"/>
        <v>-6.826602738359024</v>
      </c>
    </row>
    <row r="560" spans="1:34" x14ac:dyDescent="0.3">
      <c r="A560" s="347">
        <f t="shared" ca="1" si="238"/>
        <v>1E-4</v>
      </c>
      <c r="B560" s="304">
        <f t="shared" ca="1" si="239"/>
        <v>33.10450000000035</v>
      </c>
      <c r="D560" s="306">
        <f t="shared" ca="1" si="240"/>
        <v>-0.74064240008551807</v>
      </c>
      <c r="E560" s="307">
        <f t="shared" ca="1" si="241"/>
        <v>-3.0236527834938682</v>
      </c>
      <c r="F560" s="304">
        <f t="shared" ca="1" si="242"/>
        <v>3.1130414902366228</v>
      </c>
      <c r="G560" s="306">
        <f t="shared" ca="1" si="243"/>
        <v>13.449991988862598</v>
      </c>
      <c r="H560" s="307">
        <f t="shared" ca="1" si="244"/>
        <v>-123.24036843597219</v>
      </c>
      <c r="I560" s="304">
        <f t="shared" ca="1" si="245"/>
        <v>123.97213677570713</v>
      </c>
      <c r="J560" s="306">
        <f t="shared" ca="1" si="246"/>
        <v>764.67878961306644</v>
      </c>
      <c r="K560" s="307">
        <f t="shared" ca="1" si="247"/>
        <v>-4.2595947881882754</v>
      </c>
      <c r="L560" s="304">
        <f t="shared" ca="1" si="232"/>
        <v>764.6906534225875</v>
      </c>
      <c r="M560" s="306">
        <f t="shared" ca="1" si="248"/>
        <v>-1.4620903008731694</v>
      </c>
      <c r="N560" s="304">
        <f t="shared" ca="1" si="249"/>
        <v>-83.771603507045313</v>
      </c>
      <c r="P560" s="310">
        <f t="shared" ca="1" si="250"/>
        <v>23</v>
      </c>
      <c r="Q560" s="304">
        <f t="shared" ca="1" si="251"/>
        <v>0</v>
      </c>
      <c r="R560" s="306">
        <f t="shared" ca="1" si="252"/>
        <v>0</v>
      </c>
      <c r="S560" s="307">
        <f t="shared" ca="1" si="253"/>
        <v>8.5499999999999989</v>
      </c>
      <c r="T560" s="304">
        <f t="shared" ca="1" si="233"/>
        <v>83.875499999999988</v>
      </c>
      <c r="U560" s="311">
        <f t="shared" ca="1" si="234"/>
        <v>0</v>
      </c>
      <c r="V560" s="306">
        <f t="shared" ca="1" si="235"/>
        <v>1.2255219115181324</v>
      </c>
      <c r="W560" s="304">
        <f t="shared" ca="1" si="236"/>
        <v>58.368148220175691</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2.9254503864205441</v>
      </c>
      <c r="AH560" s="304">
        <f t="shared" ca="1" si="260"/>
        <v>-6.8266433704848657</v>
      </c>
    </row>
    <row r="561" spans="1:34" x14ac:dyDescent="0.3">
      <c r="A561" s="347">
        <f t="shared" ca="1" si="238"/>
        <v>1E-4</v>
      </c>
      <c r="B561" s="304">
        <f t="shared" ca="1" si="239"/>
        <v>33.104600000000353</v>
      </c>
      <c r="D561" s="306">
        <f t="shared" ca="1" si="240"/>
        <v>-0.740640982161623</v>
      </c>
      <c r="E561" s="307">
        <f t="shared" ca="1" si="241"/>
        <v>-3.0236117556083686</v>
      </c>
      <c r="F561" s="304">
        <f t="shared" ca="1" si="242"/>
        <v>3.11300130310131</v>
      </c>
      <c r="G561" s="306">
        <f t="shared" ca="1" si="243"/>
        <v>13.449917924764382</v>
      </c>
      <c r="H561" s="307">
        <f t="shared" ca="1" si="244"/>
        <v>-123.24067079714774</v>
      </c>
      <c r="I561" s="304">
        <f t="shared" ca="1" si="245"/>
        <v>123.97242931681964</v>
      </c>
      <c r="J561" s="306">
        <f t="shared" ca="1" si="246"/>
        <v>764.67878961306644</v>
      </c>
      <c r="K561" s="307">
        <f t="shared" ca="1" si="247"/>
        <v>-4.2719188401499313</v>
      </c>
      <c r="L561" s="304">
        <f t="shared" ca="1" si="232"/>
        <v>764.69072217118025</v>
      </c>
      <c r="M561" s="306">
        <f t="shared" ca="1" si="248"/>
        <v>-1.4620911593762043</v>
      </c>
      <c r="N561" s="304">
        <f t="shared" ca="1" si="249"/>
        <v>-83.771652695645912</v>
      </c>
      <c r="P561" s="310">
        <f t="shared" ca="1" si="250"/>
        <v>23</v>
      </c>
      <c r="Q561" s="304">
        <f t="shared" ca="1" si="251"/>
        <v>0</v>
      </c>
      <c r="R561" s="306">
        <f t="shared" ca="1" si="252"/>
        <v>0</v>
      </c>
      <c r="S561" s="307">
        <f t="shared" ca="1" si="253"/>
        <v>8.5499999999999989</v>
      </c>
      <c r="T561" s="304">
        <f t="shared" ca="1" si="233"/>
        <v>83.875499999999988</v>
      </c>
      <c r="U561" s="311">
        <f t="shared" ca="1" si="234"/>
        <v>0</v>
      </c>
      <c r="V561" s="306">
        <f t="shared" ca="1" si="235"/>
        <v>1.2255234218587034</v>
      </c>
      <c r="W561" s="304">
        <f t="shared" ca="1" si="236"/>
        <v>58.368495620559962</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2.9254106682694641</v>
      </c>
      <c r="AH561" s="304">
        <f t="shared" ca="1" si="260"/>
        <v>-6.8266840023597304</v>
      </c>
    </row>
    <row r="562" spans="1:34" x14ac:dyDescent="0.3">
      <c r="A562" s="347">
        <f t="shared" ca="1" si="238"/>
        <v>1E-4</v>
      </c>
      <c r="B562" s="304">
        <f t="shared" ca="1" si="239"/>
        <v>33.104700000000356</v>
      </c>
      <c r="D562" s="306">
        <f t="shared" ca="1" si="240"/>
        <v>-0.74063956420017907</v>
      </c>
      <c r="E562" s="307">
        <f t="shared" ca="1" si="241"/>
        <v>-3.0235707279762956</v>
      </c>
      <c r="F562" s="304">
        <f t="shared" ca="1" si="242"/>
        <v>3.1129611162257933</v>
      </c>
      <c r="G562" s="306">
        <f t="shared" ca="1" si="243"/>
        <v>13.449843860807961</v>
      </c>
      <c r="H562" s="307">
        <f t="shared" ca="1" si="244"/>
        <v>-123.24097315422054</v>
      </c>
      <c r="I562" s="304">
        <f t="shared" ca="1" si="245"/>
        <v>123.97272185396035</v>
      </c>
      <c r="J562" s="306">
        <f t="shared" ca="1" si="246"/>
        <v>764.67878961306644</v>
      </c>
      <c r="K562" s="307">
        <f t="shared" ca="1" si="247"/>
        <v>-4.2842429223474996</v>
      </c>
      <c r="L562" s="304">
        <f t="shared" ca="1" si="232"/>
        <v>764.69079111855535</v>
      </c>
      <c r="M562" s="306">
        <f t="shared" ca="1" si="248"/>
        <v>-1.4620920178704599</v>
      </c>
      <c r="N562" s="304">
        <f t="shared" ca="1" si="249"/>
        <v>-83.771701883743489</v>
      </c>
      <c r="P562" s="310">
        <f t="shared" ca="1" si="250"/>
        <v>23</v>
      </c>
      <c r="Q562" s="304">
        <f t="shared" ca="1" si="251"/>
        <v>0</v>
      </c>
      <c r="R562" s="306">
        <f t="shared" ca="1" si="252"/>
        <v>0</v>
      </c>
      <c r="S562" s="307">
        <f t="shared" ca="1" si="253"/>
        <v>8.5499999999999989</v>
      </c>
      <c r="T562" s="304">
        <f t="shared" ca="1" si="233"/>
        <v>83.875499999999988</v>
      </c>
      <c r="U562" s="311">
        <f t="shared" ca="1" si="234"/>
        <v>0</v>
      </c>
      <c r="V562" s="306">
        <f t="shared" ca="1" si="235"/>
        <v>1.225524932204842</v>
      </c>
      <c r="W562" s="304">
        <f t="shared" ca="1" si="236"/>
        <v>58.368843018798408</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2.9253709503528276</v>
      </c>
      <c r="AH562" s="304">
        <f t="shared" ca="1" si="260"/>
        <v>-6.8267246339836225</v>
      </c>
    </row>
    <row r="563" spans="1:34" x14ac:dyDescent="0.3">
      <c r="A563" s="347">
        <f t="shared" ca="1" si="238"/>
        <v>1E-4</v>
      </c>
      <c r="B563" s="304">
        <f t="shared" ca="1" si="239"/>
        <v>33.10480000000036</v>
      </c>
      <c r="D563" s="306">
        <f t="shared" ca="1" si="240"/>
        <v>-0.74063814620118773</v>
      </c>
      <c r="E563" s="307">
        <f t="shared" ca="1" si="241"/>
        <v>-3.0235297005976518</v>
      </c>
      <c r="F563" s="304">
        <f t="shared" ca="1" si="242"/>
        <v>3.1129209296100755</v>
      </c>
      <c r="G563" s="306">
        <f t="shared" ca="1" si="243"/>
        <v>13.449769796993341</v>
      </c>
      <c r="H563" s="307">
        <f t="shared" ca="1" si="244"/>
        <v>-123.24127550719059</v>
      </c>
      <c r="I563" s="304">
        <f t="shared" ca="1" si="245"/>
        <v>123.97301438712931</v>
      </c>
      <c r="J563" s="306">
        <f t="shared" ca="1" si="246"/>
        <v>764.67878961306644</v>
      </c>
      <c r="K563" s="307">
        <f t="shared" ca="1" si="247"/>
        <v>-4.29656703478057</v>
      </c>
      <c r="L563" s="304">
        <f t="shared" ca="1" si="232"/>
        <v>764.69086026471427</v>
      </c>
      <c r="M563" s="306">
        <f t="shared" ca="1" si="248"/>
        <v>-1.4620928763559369</v>
      </c>
      <c r="N563" s="304">
        <f t="shared" ca="1" si="249"/>
        <v>-83.771751071338088</v>
      </c>
      <c r="P563" s="310">
        <f t="shared" ca="1" si="250"/>
        <v>23</v>
      </c>
      <c r="Q563" s="304">
        <f t="shared" ca="1" si="251"/>
        <v>0</v>
      </c>
      <c r="R563" s="306">
        <f t="shared" ca="1" si="252"/>
        <v>0</v>
      </c>
      <c r="S563" s="307">
        <f t="shared" ca="1" si="253"/>
        <v>8.5499999999999989</v>
      </c>
      <c r="T563" s="304">
        <f t="shared" ca="1" si="233"/>
        <v>83.875499999999988</v>
      </c>
      <c r="U563" s="311">
        <f t="shared" ca="1" si="234"/>
        <v>0</v>
      </c>
      <c r="V563" s="306">
        <f t="shared" ca="1" si="235"/>
        <v>1.2255264425565475</v>
      </c>
      <c r="W563" s="304">
        <f t="shared" ca="1" si="236"/>
        <v>58.369190414890987</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2.925331232670632</v>
      </c>
      <c r="AH563" s="304">
        <f t="shared" ca="1" si="260"/>
        <v>-6.8267652653565394</v>
      </c>
    </row>
    <row r="564" spans="1:34" x14ac:dyDescent="0.3">
      <c r="A564" s="347">
        <f t="shared" ca="1" si="238"/>
        <v>1E-4</v>
      </c>
      <c r="B564" s="304">
        <f t="shared" ca="1" si="239"/>
        <v>33.104900000000363</v>
      </c>
      <c r="D564" s="306">
        <f t="shared" ca="1" si="240"/>
        <v>-0.74063672816464754</v>
      </c>
      <c r="E564" s="307">
        <f t="shared" ca="1" si="241"/>
        <v>-3.0234886734724382</v>
      </c>
      <c r="F564" s="304">
        <f t="shared" ca="1" si="242"/>
        <v>3.1128807432541579</v>
      </c>
      <c r="G564" s="306">
        <f t="shared" ca="1" si="243"/>
        <v>13.449695733320524</v>
      </c>
      <c r="H564" s="307">
        <f t="shared" ca="1" si="244"/>
        <v>-123.24157785605794</v>
      </c>
      <c r="I564" s="304">
        <f t="shared" ca="1" si="245"/>
        <v>123.97330691632652</v>
      </c>
      <c r="J564" s="306">
        <f t="shared" ca="1" si="246"/>
        <v>764.67878961306644</v>
      </c>
      <c r="K564" s="307">
        <f t="shared" ca="1" si="247"/>
        <v>-4.3088911774487322</v>
      </c>
      <c r="L564" s="304">
        <f t="shared" ca="1" si="232"/>
        <v>764.69092960965838</v>
      </c>
      <c r="M564" s="306">
        <f t="shared" ca="1" si="248"/>
        <v>-1.4620937348326348</v>
      </c>
      <c r="N564" s="304">
        <f t="shared" ca="1" si="249"/>
        <v>-83.771800258429693</v>
      </c>
      <c r="P564" s="310">
        <f t="shared" ca="1" si="250"/>
        <v>23</v>
      </c>
      <c r="Q564" s="304">
        <f t="shared" ca="1" si="251"/>
        <v>0</v>
      </c>
      <c r="R564" s="306">
        <f t="shared" ca="1" si="252"/>
        <v>0</v>
      </c>
      <c r="S564" s="307">
        <f t="shared" ca="1" si="253"/>
        <v>8.5499999999999989</v>
      </c>
      <c r="T564" s="304">
        <f t="shared" ca="1" si="233"/>
        <v>83.875499999999988</v>
      </c>
      <c r="U564" s="311">
        <f t="shared" ca="1" si="234"/>
        <v>0</v>
      </c>
      <c r="V564" s="306">
        <f t="shared" ca="1" si="235"/>
        <v>1.2255279529138206</v>
      </c>
      <c r="W564" s="304">
        <f t="shared" ca="1" si="236"/>
        <v>58.369537808837727</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2.9252915152228844</v>
      </c>
      <c r="AH564" s="304">
        <f t="shared" ca="1" si="260"/>
        <v>-6.8268058964784792</v>
      </c>
    </row>
    <row r="565" spans="1:34" x14ac:dyDescent="0.3">
      <c r="A565" s="347">
        <f t="shared" ca="1" si="238"/>
        <v>1E-4</v>
      </c>
      <c r="B565" s="304">
        <f t="shared" ca="1" si="239"/>
        <v>33.105000000000366</v>
      </c>
      <c r="D565" s="306">
        <f t="shared" ca="1" si="240"/>
        <v>-0.7406353100905616</v>
      </c>
      <c r="E565" s="307">
        <f t="shared" ca="1" si="241"/>
        <v>-3.0234476466006539</v>
      </c>
      <c r="F565" s="304">
        <f t="shared" ca="1" si="242"/>
        <v>3.1128405571580395</v>
      </c>
      <c r="G565" s="306">
        <f t="shared" ca="1" si="243"/>
        <v>13.449621669789515</v>
      </c>
      <c r="H565" s="307">
        <f t="shared" ca="1" si="244"/>
        <v>-123.24188020082261</v>
      </c>
      <c r="I565" s="304">
        <f t="shared" ca="1" si="245"/>
        <v>123.97359944155201</v>
      </c>
      <c r="J565" s="306">
        <f t="shared" ca="1" si="246"/>
        <v>764.67878961306644</v>
      </c>
      <c r="K565" s="307">
        <f t="shared" ca="1" si="247"/>
        <v>-4.3212153503515758</v>
      </c>
      <c r="L565" s="304">
        <f t="shared" ca="1" si="232"/>
        <v>764.69099915338904</v>
      </c>
      <c r="M565" s="306">
        <f t="shared" ca="1" si="248"/>
        <v>-1.4620945933005542</v>
      </c>
      <c r="N565" s="304">
        <f t="shared" ca="1" si="249"/>
        <v>-83.771849445018333</v>
      </c>
      <c r="P565" s="310">
        <f t="shared" ca="1" si="250"/>
        <v>23</v>
      </c>
      <c r="Q565" s="304">
        <f t="shared" ca="1" si="251"/>
        <v>0</v>
      </c>
      <c r="R565" s="306">
        <f t="shared" ca="1" si="252"/>
        <v>0</v>
      </c>
      <c r="S565" s="307">
        <f t="shared" ca="1" si="253"/>
        <v>8.5499999999999989</v>
      </c>
      <c r="T565" s="304">
        <f t="shared" ca="1" si="233"/>
        <v>83.875499999999988</v>
      </c>
      <c r="U565" s="311">
        <f t="shared" ca="1" si="234"/>
        <v>0</v>
      </c>
      <c r="V565" s="306">
        <f t="shared" ca="1" si="235"/>
        <v>1.22552946327666</v>
      </c>
      <c r="W565" s="304">
        <f t="shared" ca="1" si="236"/>
        <v>58.369885200638535</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2.925251798009584</v>
      </c>
      <c r="AH565" s="304">
        <f t="shared" ca="1" si="260"/>
        <v>-6.826846527349443</v>
      </c>
    </row>
    <row r="566" spans="1:34" x14ac:dyDescent="0.3">
      <c r="A566" s="347">
        <f t="shared" ca="1" si="238"/>
        <v>1E-4</v>
      </c>
      <c r="B566" s="304">
        <f t="shared" ca="1" si="239"/>
        <v>33.10510000000037</v>
      </c>
      <c r="D566" s="306">
        <f t="shared" ca="1" si="240"/>
        <v>-0.74063389197892771</v>
      </c>
      <c r="E566" s="307">
        <f t="shared" ca="1" si="241"/>
        <v>-3.0234066199823113</v>
      </c>
      <c r="F566" s="304">
        <f t="shared" ca="1" si="242"/>
        <v>3.1128003713217329</v>
      </c>
      <c r="G566" s="306">
        <f t="shared" ca="1" si="243"/>
        <v>13.449547606400317</v>
      </c>
      <c r="H566" s="307">
        <f t="shared" ca="1" si="244"/>
        <v>-123.24218254148461</v>
      </c>
      <c r="I566" s="304">
        <f t="shared" ca="1" si="245"/>
        <v>123.97389196280579</v>
      </c>
      <c r="J566" s="306">
        <f t="shared" ca="1" si="246"/>
        <v>764.67878961306644</v>
      </c>
      <c r="K566" s="307">
        <f t="shared" ca="1" si="247"/>
        <v>-4.3335395534886914</v>
      </c>
      <c r="L566" s="304">
        <f t="shared" ca="1" si="232"/>
        <v>764.69106889590785</v>
      </c>
      <c r="M566" s="306">
        <f t="shared" ca="1" si="248"/>
        <v>-1.4620954517596951</v>
      </c>
      <c r="N566" s="304">
        <f t="shared" ca="1" si="249"/>
        <v>-83.77189863110398</v>
      </c>
      <c r="P566" s="310">
        <f t="shared" ca="1" si="250"/>
        <v>23</v>
      </c>
      <c r="Q566" s="304">
        <f t="shared" ca="1" si="251"/>
        <v>0</v>
      </c>
      <c r="R566" s="306">
        <f t="shared" ca="1" si="252"/>
        <v>0</v>
      </c>
      <c r="S566" s="307">
        <f t="shared" ca="1" si="253"/>
        <v>8.5499999999999989</v>
      </c>
      <c r="T566" s="304">
        <f t="shared" ca="1" si="233"/>
        <v>83.875499999999988</v>
      </c>
      <c r="U566" s="311">
        <f t="shared" ca="1" si="234"/>
        <v>0</v>
      </c>
      <c r="V566" s="306">
        <f t="shared" ca="1" si="235"/>
        <v>1.225530973645067</v>
      </c>
      <c r="W566" s="304">
        <f t="shared" ca="1" si="236"/>
        <v>58.370232590293469</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2.9252120810307378</v>
      </c>
      <c r="AH566" s="304">
        <f t="shared" ca="1" si="260"/>
        <v>-6.8268871579694199</v>
      </c>
    </row>
    <row r="567" spans="1:34" x14ac:dyDescent="0.3">
      <c r="A567" s="347">
        <f t="shared" ca="1" si="238"/>
        <v>1E-4</v>
      </c>
      <c r="B567" s="304">
        <f t="shared" ca="1" si="239"/>
        <v>33.105200000000373</v>
      </c>
      <c r="D567" s="306">
        <f t="shared" ca="1" si="240"/>
        <v>-0.74063247382974828</v>
      </c>
      <c r="E567" s="307">
        <f t="shared" ca="1" si="241"/>
        <v>-3.0233655936173998</v>
      </c>
      <c r="F567" s="304">
        <f t="shared" ca="1" si="242"/>
        <v>3.1127601857452278</v>
      </c>
      <c r="G567" s="306">
        <f t="shared" ca="1" si="243"/>
        <v>13.449473543152935</v>
      </c>
      <c r="H567" s="307">
        <f t="shared" ca="1" si="244"/>
        <v>-123.24248487804397</v>
      </c>
      <c r="I567" s="304">
        <f t="shared" ca="1" si="245"/>
        <v>123.9741844800879</v>
      </c>
      <c r="J567" s="306">
        <f t="shared" ca="1" si="246"/>
        <v>764.67878961306644</v>
      </c>
      <c r="K567" s="307">
        <f t="shared" ca="1" si="247"/>
        <v>-4.3458637868596677</v>
      </c>
      <c r="L567" s="304">
        <f t="shared" ca="1" si="232"/>
        <v>764.69113883721593</v>
      </c>
      <c r="M567" s="306">
        <f t="shared" ca="1" si="248"/>
        <v>-1.4620963102100577</v>
      </c>
      <c r="N567" s="304">
        <f t="shared" ca="1" si="249"/>
        <v>-83.771947816686676</v>
      </c>
      <c r="P567" s="310">
        <f t="shared" ca="1" si="250"/>
        <v>23</v>
      </c>
      <c r="Q567" s="304">
        <f t="shared" ca="1" si="251"/>
        <v>0</v>
      </c>
      <c r="R567" s="306">
        <f t="shared" ca="1" si="252"/>
        <v>0</v>
      </c>
      <c r="S567" s="307">
        <f t="shared" ca="1" si="253"/>
        <v>8.5499999999999989</v>
      </c>
      <c r="T567" s="304">
        <f t="shared" ca="1" si="233"/>
        <v>83.875499999999988</v>
      </c>
      <c r="U567" s="311">
        <f t="shared" ca="1" si="234"/>
        <v>0</v>
      </c>
      <c r="V567" s="306">
        <f t="shared" ca="1" si="235"/>
        <v>1.2255324840190414</v>
      </c>
      <c r="W567" s="304">
        <f t="shared" ca="1" si="236"/>
        <v>58.3705799778025</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2.9251723642863432</v>
      </c>
      <c r="AH567" s="304">
        <f t="shared" ca="1" si="260"/>
        <v>-6.8269277883384181</v>
      </c>
    </row>
    <row r="568" spans="1:34" x14ac:dyDescent="0.3">
      <c r="A568" s="347">
        <f t="shared" ca="1" si="238"/>
        <v>1E-4</v>
      </c>
      <c r="B568" s="304">
        <f t="shared" ca="1" si="239"/>
        <v>33.105300000000376</v>
      </c>
      <c r="D568" s="306">
        <f t="shared" ca="1" si="240"/>
        <v>-0.74063105564302323</v>
      </c>
      <c r="E568" s="307">
        <f t="shared" ca="1" si="241"/>
        <v>-3.0233245675059255</v>
      </c>
      <c r="F568" s="304">
        <f t="shared" ca="1" si="242"/>
        <v>3.1127200004285305</v>
      </c>
      <c r="G568" s="306">
        <f t="shared" ca="1" si="243"/>
        <v>13.44939948004737</v>
      </c>
      <c r="H568" s="307">
        <f t="shared" ca="1" si="244"/>
        <v>-123.24278721050072</v>
      </c>
      <c r="I568" s="304">
        <f t="shared" ca="1" si="245"/>
        <v>123.97447699339835</v>
      </c>
      <c r="J568" s="306">
        <f t="shared" ca="1" si="246"/>
        <v>764.67878961306644</v>
      </c>
      <c r="K568" s="307">
        <f t="shared" ca="1" si="247"/>
        <v>-4.3581880504640953</v>
      </c>
      <c r="L568" s="304">
        <f t="shared" ca="1" si="232"/>
        <v>764.69120897731489</v>
      </c>
      <c r="M568" s="306">
        <f t="shared" ca="1" si="248"/>
        <v>-1.462097168651642</v>
      </c>
      <c r="N568" s="304">
        <f t="shared" ca="1" si="249"/>
        <v>-83.771997001766422</v>
      </c>
      <c r="P568" s="310">
        <f t="shared" ca="1" si="250"/>
        <v>23</v>
      </c>
      <c r="Q568" s="304">
        <f t="shared" ca="1" si="251"/>
        <v>0</v>
      </c>
      <c r="R568" s="306">
        <f t="shared" ca="1" si="252"/>
        <v>0</v>
      </c>
      <c r="S568" s="307">
        <f t="shared" ca="1" si="253"/>
        <v>8.5499999999999989</v>
      </c>
      <c r="T568" s="304">
        <f t="shared" ca="1" si="233"/>
        <v>83.875499999999988</v>
      </c>
      <c r="U568" s="311">
        <f t="shared" ca="1" si="234"/>
        <v>0</v>
      </c>
      <c r="V568" s="306">
        <f t="shared" ca="1" si="235"/>
        <v>1.2255339943985823</v>
      </c>
      <c r="W568" s="304">
        <f t="shared" ca="1" si="236"/>
        <v>58.370927363165592</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2.9251326477764001</v>
      </c>
      <c r="AH568" s="304">
        <f t="shared" ca="1" si="260"/>
        <v>-6.8269684184564339</v>
      </c>
    </row>
    <row r="569" spans="1:34" x14ac:dyDescent="0.3">
      <c r="A569" s="347">
        <f t="shared" ca="1" si="238"/>
        <v>1E-4</v>
      </c>
      <c r="B569" s="304">
        <f t="shared" ca="1" si="239"/>
        <v>33.10540000000038</v>
      </c>
      <c r="D569" s="306">
        <f t="shared" ca="1" si="240"/>
        <v>-0.74062963741875365</v>
      </c>
      <c r="E569" s="307">
        <f t="shared" ca="1" si="241"/>
        <v>-3.023283541647892</v>
      </c>
      <c r="F569" s="304">
        <f t="shared" ca="1" si="242"/>
        <v>3.1126798153716448</v>
      </c>
      <c r="G569" s="306">
        <f t="shared" ca="1" si="243"/>
        <v>13.449325417083628</v>
      </c>
      <c r="H569" s="307">
        <f t="shared" ca="1" si="244"/>
        <v>-123.24308953885489</v>
      </c>
      <c r="I569" s="304">
        <f t="shared" ca="1" si="245"/>
        <v>123.97476950273719</v>
      </c>
      <c r="J569" s="306">
        <f t="shared" ca="1" si="246"/>
        <v>764.67878961306644</v>
      </c>
      <c r="K569" s="307">
        <f t="shared" ca="1" si="247"/>
        <v>-4.370512344301563</v>
      </c>
      <c r="L569" s="304">
        <f t="shared" ca="1" si="232"/>
        <v>764.69127931620619</v>
      </c>
      <c r="M569" s="306">
        <f t="shared" ca="1" si="248"/>
        <v>-1.4620980270844481</v>
      </c>
      <c r="N569" s="304">
        <f t="shared" ca="1" si="249"/>
        <v>-83.772046186343204</v>
      </c>
      <c r="P569" s="310">
        <f t="shared" ca="1" si="250"/>
        <v>23</v>
      </c>
      <c r="Q569" s="304">
        <f t="shared" ca="1" si="251"/>
        <v>0</v>
      </c>
      <c r="R569" s="306">
        <f t="shared" ca="1" si="252"/>
        <v>0</v>
      </c>
      <c r="S569" s="307">
        <f t="shared" ca="1" si="253"/>
        <v>8.5499999999999989</v>
      </c>
      <c r="T569" s="304">
        <f t="shared" ca="1" si="233"/>
        <v>83.875499999999988</v>
      </c>
      <c r="U569" s="311">
        <f t="shared" ca="1" si="234"/>
        <v>0</v>
      </c>
      <c r="V569" s="306">
        <f t="shared" ca="1" si="235"/>
        <v>1.2255355047836904</v>
      </c>
      <c r="W569" s="304">
        <f t="shared" ca="1" si="236"/>
        <v>58.37127474638276</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2.9250929315009175</v>
      </c>
      <c r="AH569" s="304">
        <f t="shared" ca="1" si="260"/>
        <v>-6.827009048323462</v>
      </c>
    </row>
    <row r="570" spans="1:34" x14ac:dyDescent="0.3">
      <c r="A570" s="347">
        <f t="shared" ca="1" si="238"/>
        <v>1E-4</v>
      </c>
      <c r="B570" s="304">
        <f t="shared" ca="1" si="239"/>
        <v>33.105500000000383</v>
      </c>
      <c r="D570" s="306">
        <f t="shared" ca="1" si="240"/>
        <v>-0.7406282191569401</v>
      </c>
      <c r="E570" s="307">
        <f t="shared" ca="1" si="241"/>
        <v>-3.0232425160432967</v>
      </c>
      <c r="F570" s="304">
        <f t="shared" ca="1" si="242"/>
        <v>3.1126396305745683</v>
      </c>
      <c r="G570" s="306">
        <f t="shared" ca="1" si="243"/>
        <v>13.449251354261712</v>
      </c>
      <c r="H570" s="307">
        <f t="shared" ca="1" si="244"/>
        <v>-123.2433918631065</v>
      </c>
      <c r="I570" s="304">
        <f t="shared" ca="1" si="245"/>
        <v>123.97506200810442</v>
      </c>
      <c r="J570" s="306">
        <f t="shared" ca="1" si="246"/>
        <v>764.67878961306644</v>
      </c>
      <c r="K570" s="307">
        <f t="shared" ca="1" si="247"/>
        <v>-4.3828366683716613</v>
      </c>
      <c r="L570" s="304">
        <f t="shared" ca="1" si="232"/>
        <v>764.69134985389098</v>
      </c>
      <c r="M570" s="306">
        <f t="shared" ca="1" si="248"/>
        <v>-1.4620988855084764</v>
      </c>
      <c r="N570" s="304">
        <f t="shared" ca="1" si="249"/>
        <v>-83.772095370417063</v>
      </c>
      <c r="P570" s="310">
        <f t="shared" ca="1" si="250"/>
        <v>23</v>
      </c>
      <c r="Q570" s="304">
        <f t="shared" ca="1" si="251"/>
        <v>0</v>
      </c>
      <c r="R570" s="306">
        <f t="shared" ca="1" si="252"/>
        <v>0</v>
      </c>
      <c r="S570" s="307">
        <f t="shared" ca="1" si="253"/>
        <v>8.5499999999999989</v>
      </c>
      <c r="T570" s="304">
        <f t="shared" ca="1" si="233"/>
        <v>83.875499999999988</v>
      </c>
      <c r="U570" s="311">
        <f t="shared" ca="1" si="234"/>
        <v>0</v>
      </c>
      <c r="V570" s="306">
        <f t="shared" ca="1" si="235"/>
        <v>1.2255370151743652</v>
      </c>
      <c r="W570" s="304">
        <f t="shared" ca="1" si="236"/>
        <v>58.371622127453954</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2.9250532154598892</v>
      </c>
      <c r="AH570" s="304">
        <f t="shared" ca="1" si="260"/>
        <v>-6.8270496779395051</v>
      </c>
    </row>
    <row r="571" spans="1:34" x14ac:dyDescent="0.3">
      <c r="A571" s="347">
        <f t="shared" ca="1" si="238"/>
        <v>1E-4</v>
      </c>
      <c r="B571" s="304">
        <f t="shared" ca="1" si="239"/>
        <v>33.105600000000386</v>
      </c>
      <c r="D571" s="306">
        <f t="shared" ca="1" si="240"/>
        <v>-0.74062680085758203</v>
      </c>
      <c r="E571" s="307">
        <f t="shared" ca="1" si="241"/>
        <v>-3.0232014906921476</v>
      </c>
      <c r="F571" s="304">
        <f t="shared" ca="1" si="242"/>
        <v>3.1125994460373083</v>
      </c>
      <c r="G571" s="306">
        <f t="shared" ca="1" si="243"/>
        <v>13.449177291581625</v>
      </c>
      <c r="H571" s="307">
        <f t="shared" ca="1" si="244"/>
        <v>-123.24369418325557</v>
      </c>
      <c r="I571" s="304">
        <f t="shared" ca="1" si="245"/>
        <v>123.97535450950006</v>
      </c>
      <c r="J571" s="306">
        <f t="shared" ca="1" si="246"/>
        <v>764.67878961306644</v>
      </c>
      <c r="K571" s="307">
        <f t="shared" ca="1" si="247"/>
        <v>-4.395161022673979</v>
      </c>
      <c r="L571" s="304">
        <f t="shared" ca="1" si="232"/>
        <v>764.69142059037097</v>
      </c>
      <c r="M571" s="306">
        <f t="shared" ca="1" si="248"/>
        <v>-1.4620997439237267</v>
      </c>
      <c r="N571" s="304">
        <f t="shared" ca="1" si="249"/>
        <v>-83.772144553987971</v>
      </c>
      <c r="P571" s="310">
        <f t="shared" ca="1" si="250"/>
        <v>23</v>
      </c>
      <c r="Q571" s="304">
        <f t="shared" ca="1" si="251"/>
        <v>0</v>
      </c>
      <c r="R571" s="306">
        <f t="shared" ca="1" si="252"/>
        <v>0</v>
      </c>
      <c r="S571" s="307">
        <f t="shared" ca="1" si="253"/>
        <v>8.5499999999999989</v>
      </c>
      <c r="T571" s="304">
        <f t="shared" ca="1" si="233"/>
        <v>83.875499999999988</v>
      </c>
      <c r="U571" s="311">
        <f t="shared" ca="1" si="234"/>
        <v>0</v>
      </c>
      <c r="V571" s="306">
        <f t="shared" ca="1" si="235"/>
        <v>1.2255385255706073</v>
      </c>
      <c r="W571" s="304">
        <f t="shared" ca="1" si="236"/>
        <v>58.371969506379202</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2.9250134996533248</v>
      </c>
      <c r="AH571" s="304">
        <f t="shared" ca="1" si="260"/>
        <v>-6.827090307304557</v>
      </c>
    </row>
    <row r="572" spans="1:34" x14ac:dyDescent="0.3">
      <c r="A572" s="347">
        <f t="shared" ca="1" si="238"/>
        <v>1E-4</v>
      </c>
      <c r="B572" s="304">
        <f t="shared" ca="1" si="239"/>
        <v>33.10570000000039</v>
      </c>
      <c r="D572" s="306">
        <f t="shared" ca="1" si="240"/>
        <v>-0.74062538252068311</v>
      </c>
      <c r="E572" s="307">
        <f t="shared" ca="1" si="241"/>
        <v>-3.0231604655944402</v>
      </c>
      <c r="F572" s="304">
        <f t="shared" ca="1" si="242"/>
        <v>3.1125592617598623</v>
      </c>
      <c r="G572" s="306">
        <f t="shared" ca="1" si="243"/>
        <v>13.449103229043374</v>
      </c>
      <c r="H572" s="307">
        <f t="shared" ca="1" si="244"/>
        <v>-123.24399649930213</v>
      </c>
      <c r="I572" s="304">
        <f t="shared" ca="1" si="245"/>
        <v>123.97564700692415</v>
      </c>
      <c r="J572" s="306">
        <f t="shared" ca="1" si="246"/>
        <v>764.67878961306644</v>
      </c>
      <c r="K572" s="307">
        <f t="shared" ca="1" si="247"/>
        <v>-4.4074854072081067</v>
      </c>
      <c r="L572" s="304">
        <f t="shared" ca="1" si="232"/>
        <v>764.69149152564728</v>
      </c>
      <c r="M572" s="306">
        <f t="shared" ca="1" si="248"/>
        <v>-1.4621006023301995</v>
      </c>
      <c r="N572" s="304">
        <f t="shared" ca="1" si="249"/>
        <v>-83.772193737055971</v>
      </c>
      <c r="P572" s="310">
        <f t="shared" ca="1" si="250"/>
        <v>23</v>
      </c>
      <c r="Q572" s="304">
        <f t="shared" ca="1" si="251"/>
        <v>0</v>
      </c>
      <c r="R572" s="306">
        <f t="shared" ca="1" si="252"/>
        <v>0</v>
      </c>
      <c r="S572" s="307">
        <f t="shared" ca="1" si="253"/>
        <v>8.5499999999999989</v>
      </c>
      <c r="T572" s="304">
        <f t="shared" ca="1" si="233"/>
        <v>83.875499999999988</v>
      </c>
      <c r="U572" s="311">
        <f t="shared" ca="1" si="234"/>
        <v>0</v>
      </c>
      <c r="V572" s="306">
        <f t="shared" ca="1" si="235"/>
        <v>1.2255400359724167</v>
      </c>
      <c r="W572" s="304">
        <f t="shared" ca="1" si="236"/>
        <v>58.372316883158497</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2.9249737840812209</v>
      </c>
      <c r="AH572" s="304">
        <f t="shared" ca="1" si="260"/>
        <v>-6.8271309364186212</v>
      </c>
    </row>
    <row r="573" spans="1:34" x14ac:dyDescent="0.3">
      <c r="A573" s="347">
        <f t="shared" ca="1" si="238"/>
        <v>1E-4</v>
      </c>
      <c r="B573" s="304">
        <f t="shared" ca="1" si="239"/>
        <v>33.105800000000393</v>
      </c>
      <c r="D573" s="306">
        <f t="shared" ca="1" si="240"/>
        <v>-0.74062396414624032</v>
      </c>
      <c r="E573" s="307">
        <f t="shared" ca="1" si="241"/>
        <v>-3.0231194407501745</v>
      </c>
      <c r="F573" s="304">
        <f t="shared" ca="1" si="242"/>
        <v>3.1125190777422294</v>
      </c>
      <c r="G573" s="306">
        <f t="shared" ca="1" si="243"/>
        <v>13.449029166646959</v>
      </c>
      <c r="H573" s="307">
        <f t="shared" ca="1" si="244"/>
        <v>-123.2442988112462</v>
      </c>
      <c r="I573" s="304">
        <f t="shared" ca="1" si="245"/>
        <v>123.97593950037668</v>
      </c>
      <c r="J573" s="306">
        <f t="shared" ca="1" si="246"/>
        <v>764.67878961306644</v>
      </c>
      <c r="K573" s="307">
        <f t="shared" ca="1" si="247"/>
        <v>-4.4198098219736339</v>
      </c>
      <c r="L573" s="304">
        <f t="shared" ca="1" si="232"/>
        <v>764.69156265972151</v>
      </c>
      <c r="M573" s="306">
        <f t="shared" ca="1" si="248"/>
        <v>-1.4621014607278946</v>
      </c>
      <c r="N573" s="304">
        <f t="shared" ca="1" si="249"/>
        <v>-83.772242919621036</v>
      </c>
      <c r="P573" s="310">
        <f t="shared" ca="1" si="250"/>
        <v>23</v>
      </c>
      <c r="Q573" s="304">
        <f t="shared" ca="1" si="251"/>
        <v>0</v>
      </c>
      <c r="R573" s="306">
        <f t="shared" ca="1" si="252"/>
        <v>0</v>
      </c>
      <c r="S573" s="307">
        <f t="shared" ca="1" si="253"/>
        <v>8.5499999999999989</v>
      </c>
      <c r="T573" s="304">
        <f t="shared" ca="1" si="233"/>
        <v>83.875499999999988</v>
      </c>
      <c r="U573" s="311">
        <f t="shared" ca="1" si="234"/>
        <v>0</v>
      </c>
      <c r="V573" s="306">
        <f t="shared" ca="1" si="235"/>
        <v>1.2255415463797923</v>
      </c>
      <c r="W573" s="304">
        <f t="shared" ca="1" si="236"/>
        <v>58.37266425779174</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2.9249340687435792</v>
      </c>
      <c r="AH573" s="304">
        <f t="shared" ca="1" si="260"/>
        <v>-6.827171565281696</v>
      </c>
    </row>
    <row r="574" spans="1:34" x14ac:dyDescent="0.3">
      <c r="A574" s="347">
        <f t="shared" ca="1" si="238"/>
        <v>1E-4</v>
      </c>
      <c r="B574" s="304">
        <f t="shared" ca="1" si="239"/>
        <v>33.105900000000396</v>
      </c>
      <c r="D574" s="306">
        <f t="shared" ca="1" si="240"/>
        <v>-0.7406225457342559</v>
      </c>
      <c r="E574" s="307">
        <f t="shared" ca="1" si="241"/>
        <v>-3.023078416159362</v>
      </c>
      <c r="F574" s="304">
        <f t="shared" ca="1" si="242"/>
        <v>3.1124788939844215</v>
      </c>
      <c r="G574" s="306">
        <f t="shared" ca="1" si="243"/>
        <v>13.448955104392386</v>
      </c>
      <c r="H574" s="307">
        <f t="shared" ca="1" si="244"/>
        <v>-123.24460111908782</v>
      </c>
      <c r="I574" s="304">
        <f t="shared" ca="1" si="245"/>
        <v>123.97623198985772</v>
      </c>
      <c r="J574" s="306">
        <f t="shared" ca="1" si="246"/>
        <v>764.67878961306644</v>
      </c>
      <c r="K574" s="307">
        <f t="shared" ca="1" si="247"/>
        <v>-4.4321342669701504</v>
      </c>
      <c r="L574" s="304">
        <f t="shared" ca="1" si="232"/>
        <v>764.69163399259492</v>
      </c>
      <c r="M574" s="306">
        <f t="shared" ca="1" si="248"/>
        <v>-1.4621023191168123</v>
      </c>
      <c r="N574" s="304">
        <f t="shared" ca="1" si="249"/>
        <v>-83.772292101683206</v>
      </c>
      <c r="P574" s="310">
        <f t="shared" ca="1" si="250"/>
        <v>23</v>
      </c>
      <c r="Q574" s="304">
        <f t="shared" ca="1" si="251"/>
        <v>0</v>
      </c>
      <c r="R574" s="306">
        <f t="shared" ca="1" si="252"/>
        <v>0</v>
      </c>
      <c r="S574" s="307">
        <f t="shared" ca="1" si="253"/>
        <v>8.5499999999999989</v>
      </c>
      <c r="T574" s="304">
        <f t="shared" ca="1" si="233"/>
        <v>83.875499999999988</v>
      </c>
      <c r="U574" s="311">
        <f t="shared" ca="1" si="234"/>
        <v>0</v>
      </c>
      <c r="V574" s="306">
        <f t="shared" ca="1" si="235"/>
        <v>1.225543056792735</v>
      </c>
      <c r="W574" s="304">
        <f t="shared" ca="1" si="236"/>
        <v>58.373011630279009</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2.9248943536404113</v>
      </c>
      <c r="AH574" s="304">
        <f t="shared" ca="1" si="260"/>
        <v>-6.8272121938937715</v>
      </c>
    </row>
    <row r="575" spans="1:34" x14ac:dyDescent="0.3">
      <c r="A575" s="347">
        <f t="shared" ca="1" si="238"/>
        <v>1E-4</v>
      </c>
      <c r="B575" s="304">
        <f t="shared" ca="1" si="239"/>
        <v>33.1060000000004</v>
      </c>
      <c r="D575" s="306">
        <f t="shared" ca="1" si="240"/>
        <v>-0.74062112728473084</v>
      </c>
      <c r="E575" s="307">
        <f t="shared" ca="1" si="241"/>
        <v>-3.0230373918219957</v>
      </c>
      <c r="F575" s="304">
        <f t="shared" ca="1" si="242"/>
        <v>3.1124387104864315</v>
      </c>
      <c r="G575" s="306">
        <f t="shared" ca="1" si="243"/>
        <v>13.448881042279657</v>
      </c>
      <c r="H575" s="307">
        <f t="shared" ca="1" si="244"/>
        <v>-123.24490342282699</v>
      </c>
      <c r="I575" s="304">
        <f t="shared" ca="1" si="245"/>
        <v>123.97652447536728</v>
      </c>
      <c r="J575" s="306">
        <f t="shared" ca="1" si="246"/>
        <v>764.67878961306644</v>
      </c>
      <c r="K575" s="307">
        <f t="shared" ca="1" si="247"/>
        <v>-4.4444587421972459</v>
      </c>
      <c r="L575" s="304">
        <f t="shared" ca="1" si="232"/>
        <v>764.69170552426908</v>
      </c>
      <c r="M575" s="306">
        <f t="shared" ca="1" si="248"/>
        <v>-1.4621031774969528</v>
      </c>
      <c r="N575" s="304">
        <f t="shared" ca="1" si="249"/>
        <v>-83.772341283242483</v>
      </c>
      <c r="P575" s="310">
        <f t="shared" ca="1" si="250"/>
        <v>23</v>
      </c>
      <c r="Q575" s="304">
        <f t="shared" ca="1" si="251"/>
        <v>0</v>
      </c>
      <c r="R575" s="306">
        <f t="shared" ca="1" si="252"/>
        <v>0</v>
      </c>
      <c r="S575" s="307">
        <f t="shared" ca="1" si="253"/>
        <v>8.5499999999999989</v>
      </c>
      <c r="T575" s="304">
        <f t="shared" ca="1" si="233"/>
        <v>83.875499999999988</v>
      </c>
      <c r="U575" s="311">
        <f t="shared" ca="1" si="234"/>
        <v>0</v>
      </c>
      <c r="V575" s="306">
        <f t="shared" ca="1" si="235"/>
        <v>1.2255445672112444</v>
      </c>
      <c r="W575" s="304">
        <f t="shared" ca="1" si="236"/>
        <v>58.373359000620276</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2.9248546387717056</v>
      </c>
      <c r="AH575" s="304">
        <f t="shared" ca="1" si="260"/>
        <v>-6.8272528222548559</v>
      </c>
    </row>
    <row r="576" spans="1:34" x14ac:dyDescent="0.3">
      <c r="A576" s="347">
        <f t="shared" ca="1" si="238"/>
        <v>1E-4</v>
      </c>
      <c r="B576" s="304">
        <f t="shared" ca="1" si="239"/>
        <v>33.106100000000403</v>
      </c>
      <c r="D576" s="306">
        <f t="shared" ca="1" si="240"/>
        <v>-0.74061970879766492</v>
      </c>
      <c r="E576" s="307">
        <f t="shared" ca="1" si="241"/>
        <v>-3.0229963677380773</v>
      </c>
      <c r="F576" s="304">
        <f t="shared" ca="1" si="242"/>
        <v>3.1123985272482617</v>
      </c>
      <c r="G576" s="306">
        <f t="shared" ca="1" si="243"/>
        <v>13.448806980308778</v>
      </c>
      <c r="H576" s="307">
        <f t="shared" ca="1" si="244"/>
        <v>-123.24520572246377</v>
      </c>
      <c r="I576" s="304">
        <f t="shared" ca="1" si="245"/>
        <v>123.97681695690537</v>
      </c>
      <c r="J576" s="306">
        <f t="shared" ca="1" si="246"/>
        <v>764.67878961306644</v>
      </c>
      <c r="K576" s="307">
        <f t="shared" ca="1" si="247"/>
        <v>-4.4567832476545108</v>
      </c>
      <c r="L576" s="304">
        <f t="shared" ca="1" si="232"/>
        <v>764.69177725474526</v>
      </c>
      <c r="M576" s="306">
        <f t="shared" ca="1" si="248"/>
        <v>-1.4621040358683159</v>
      </c>
      <c r="N576" s="304">
        <f t="shared" ca="1" si="249"/>
        <v>-83.772390464298837</v>
      </c>
      <c r="P576" s="310">
        <f t="shared" ca="1" si="250"/>
        <v>23</v>
      </c>
      <c r="Q576" s="304">
        <f t="shared" ca="1" si="251"/>
        <v>0</v>
      </c>
      <c r="R576" s="306">
        <f t="shared" ca="1" si="252"/>
        <v>0</v>
      </c>
      <c r="S576" s="307">
        <f t="shared" ca="1" si="253"/>
        <v>8.5499999999999989</v>
      </c>
      <c r="T576" s="304">
        <f t="shared" ca="1" si="233"/>
        <v>83.875499999999988</v>
      </c>
      <c r="U576" s="311">
        <f t="shared" ca="1" si="234"/>
        <v>0</v>
      </c>
      <c r="V576" s="306">
        <f t="shared" ca="1" si="235"/>
        <v>1.2255460776353206</v>
      </c>
      <c r="W576" s="304">
        <f t="shared" ca="1" si="236"/>
        <v>58.373706368815483</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2.9248149241374675</v>
      </c>
      <c r="AH576" s="304">
        <f t="shared" ca="1" si="260"/>
        <v>-6.8272934503649454</v>
      </c>
    </row>
    <row r="577" spans="1:34" x14ac:dyDescent="0.3">
      <c r="A577" s="347">
        <f t="shared" ca="1" si="238"/>
        <v>1E-4</v>
      </c>
      <c r="B577" s="304">
        <f t="shared" ca="1" si="239"/>
        <v>33.106200000000406</v>
      </c>
      <c r="D577" s="306">
        <f t="shared" ca="1" si="240"/>
        <v>-0.74061829027306081</v>
      </c>
      <c r="E577" s="307">
        <f t="shared" ca="1" si="241"/>
        <v>-3.0229553439076131</v>
      </c>
      <c r="F577" s="304">
        <f t="shared" ca="1" si="242"/>
        <v>3.1123583442699183</v>
      </c>
      <c r="G577" s="306">
        <f t="shared" ca="1" si="243"/>
        <v>13.448732918479751</v>
      </c>
      <c r="H577" s="307">
        <f t="shared" ca="1" si="244"/>
        <v>-123.24550801799816</v>
      </c>
      <c r="I577" s="304">
        <f t="shared" ca="1" si="245"/>
        <v>123.97710943447201</v>
      </c>
      <c r="J577" s="306">
        <f t="shared" ca="1" si="246"/>
        <v>764.67878961306644</v>
      </c>
      <c r="K577" s="307">
        <f t="shared" ca="1" si="247"/>
        <v>-4.469107783341534</v>
      </c>
      <c r="L577" s="304">
        <f t="shared" ca="1" si="232"/>
        <v>764.69184918402493</v>
      </c>
      <c r="M577" s="306">
        <f t="shared" ca="1" si="248"/>
        <v>-1.4621048942309023</v>
      </c>
      <c r="N577" s="304">
        <f t="shared" ca="1" si="249"/>
        <v>-83.772439644852327</v>
      </c>
      <c r="P577" s="310">
        <f t="shared" ca="1" si="250"/>
        <v>23</v>
      </c>
      <c r="Q577" s="304">
        <f t="shared" ca="1" si="251"/>
        <v>0</v>
      </c>
      <c r="R577" s="306">
        <f t="shared" ca="1" si="252"/>
        <v>0</v>
      </c>
      <c r="S577" s="307">
        <f t="shared" ca="1" si="253"/>
        <v>8.5499999999999989</v>
      </c>
      <c r="T577" s="304">
        <f t="shared" ca="1" si="233"/>
        <v>83.875499999999988</v>
      </c>
      <c r="U577" s="311">
        <f t="shared" ca="1" si="234"/>
        <v>0</v>
      </c>
      <c r="V577" s="306">
        <f t="shared" ca="1" si="235"/>
        <v>1.2255475880649636</v>
      </c>
      <c r="W577" s="304">
        <f t="shared" ca="1" si="236"/>
        <v>58.374053734864653</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2.9247752097377067</v>
      </c>
      <c r="AH577" s="304">
        <f t="shared" ca="1" si="260"/>
        <v>-6.8273340782240339</v>
      </c>
    </row>
    <row r="578" spans="1:34" x14ac:dyDescent="0.3">
      <c r="A578" s="347">
        <f t="shared" ca="1" si="238"/>
        <v>1E-4</v>
      </c>
      <c r="B578" s="304">
        <f t="shared" ca="1" si="239"/>
        <v>33.10630000000041</v>
      </c>
      <c r="D578" s="306">
        <f t="shared" ca="1" si="240"/>
        <v>-0.74061687171091595</v>
      </c>
      <c r="E578" s="307">
        <f t="shared" ca="1" si="241"/>
        <v>-3.0229143203306021</v>
      </c>
      <c r="F578" s="304">
        <f t="shared" ca="1" si="242"/>
        <v>3.1123181615514004</v>
      </c>
      <c r="G578" s="306">
        <f t="shared" ca="1" si="243"/>
        <v>13.44865885679258</v>
      </c>
      <c r="H578" s="307">
        <f t="shared" ca="1" si="244"/>
        <v>-123.2458103094302</v>
      </c>
      <c r="I578" s="304">
        <f t="shared" ca="1" si="245"/>
        <v>123.97740190806725</v>
      </c>
      <c r="J578" s="306">
        <f t="shared" ca="1" si="246"/>
        <v>764.67878961306644</v>
      </c>
      <c r="K578" s="307">
        <f t="shared" ca="1" si="247"/>
        <v>-4.4814323492579051</v>
      </c>
      <c r="L578" s="304">
        <f t="shared" ca="1" si="232"/>
        <v>764.69192131210934</v>
      </c>
      <c r="M578" s="306">
        <f t="shared" ca="1" si="248"/>
        <v>-1.4621057525847119</v>
      </c>
      <c r="N578" s="304">
        <f t="shared" ca="1" si="249"/>
        <v>-83.77248882490295</v>
      </c>
      <c r="P578" s="310">
        <f t="shared" ca="1" si="250"/>
        <v>23</v>
      </c>
      <c r="Q578" s="304">
        <f t="shared" ca="1" si="251"/>
        <v>0</v>
      </c>
      <c r="R578" s="306">
        <f t="shared" ca="1" si="252"/>
        <v>0</v>
      </c>
      <c r="S578" s="307">
        <f t="shared" ca="1" si="253"/>
        <v>8.5499999999999989</v>
      </c>
      <c r="T578" s="304">
        <f t="shared" ca="1" si="233"/>
        <v>83.875499999999988</v>
      </c>
      <c r="U578" s="311">
        <f t="shared" ca="1" si="234"/>
        <v>0</v>
      </c>
      <c r="V578" s="306">
        <f t="shared" ca="1" si="235"/>
        <v>1.2255490985001731</v>
      </c>
      <c r="W578" s="304">
        <f t="shared" ca="1" si="236"/>
        <v>58.374401098767763</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2.9247354955724187</v>
      </c>
      <c r="AH578" s="304">
        <f t="shared" ca="1" si="260"/>
        <v>-6.8273747058321241</v>
      </c>
    </row>
    <row r="579" spans="1:34" x14ac:dyDescent="0.3">
      <c r="A579" s="347">
        <f t="shared" ca="1" si="238"/>
        <v>1E-4</v>
      </c>
      <c r="B579" s="304">
        <f t="shared" ca="1" si="239"/>
        <v>33.106400000000413</v>
      </c>
      <c r="D579" s="306">
        <f t="shared" ca="1" si="240"/>
        <v>-0.74061545311123167</v>
      </c>
      <c r="E579" s="307">
        <f t="shared" ca="1" si="241"/>
        <v>-3.0228732970070462</v>
      </c>
      <c r="F579" s="304">
        <f t="shared" ca="1" si="242"/>
        <v>3.1122779790927102</v>
      </c>
      <c r="G579" s="306">
        <f t="shared" ca="1" si="243"/>
        <v>13.448584795247269</v>
      </c>
      <c r="H579" s="307">
        <f t="shared" ca="1" si="244"/>
        <v>-123.2461125967599</v>
      </c>
      <c r="I579" s="304">
        <f t="shared" ca="1" si="245"/>
        <v>123.97769437769109</v>
      </c>
      <c r="J579" s="306">
        <f t="shared" ca="1" si="246"/>
        <v>764.67878961306644</v>
      </c>
      <c r="K579" s="307">
        <f t="shared" ca="1" si="247"/>
        <v>-4.4937569454032147</v>
      </c>
      <c r="L579" s="304">
        <f t="shared" ca="1" si="232"/>
        <v>764.6919936390002</v>
      </c>
      <c r="M579" s="306">
        <f t="shared" ca="1" si="248"/>
        <v>-1.4621066109297445</v>
      </c>
      <c r="N579" s="304">
        <f t="shared" ca="1" si="249"/>
        <v>-83.772538004450681</v>
      </c>
      <c r="P579" s="310">
        <f t="shared" ca="1" si="250"/>
        <v>23</v>
      </c>
      <c r="Q579" s="304">
        <f t="shared" ca="1" si="251"/>
        <v>0</v>
      </c>
      <c r="R579" s="306">
        <f t="shared" ca="1" si="252"/>
        <v>0</v>
      </c>
      <c r="S579" s="307">
        <f t="shared" ca="1" si="253"/>
        <v>8.5499999999999989</v>
      </c>
      <c r="T579" s="304">
        <f t="shared" ca="1" si="233"/>
        <v>83.875499999999988</v>
      </c>
      <c r="U579" s="311">
        <f t="shared" ca="1" si="234"/>
        <v>0</v>
      </c>
      <c r="V579" s="306">
        <f t="shared" ca="1" si="235"/>
        <v>1.2255506089409494</v>
      </c>
      <c r="W579" s="304">
        <f t="shared" ca="1" si="236"/>
        <v>58.374748460524806</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2.9246957816416073</v>
      </c>
      <c r="AH579" s="304">
        <f t="shared" ca="1" si="260"/>
        <v>-6.8274153331892125</v>
      </c>
    </row>
    <row r="580" spans="1:34" x14ac:dyDescent="0.3">
      <c r="A580" s="347">
        <f t="shared" ca="1" si="238"/>
        <v>1E-4</v>
      </c>
      <c r="B580" s="304">
        <f t="shared" ca="1" si="239"/>
        <v>33.106500000000416</v>
      </c>
      <c r="D580" s="306">
        <f t="shared" ca="1" si="240"/>
        <v>-0.7406140344740112</v>
      </c>
      <c r="E580" s="307">
        <f t="shared" ca="1" si="241"/>
        <v>-3.0228322739369453</v>
      </c>
      <c r="F580" s="304">
        <f t="shared" ca="1" si="242"/>
        <v>3.1122377968938482</v>
      </c>
      <c r="G580" s="306">
        <f t="shared" ca="1" si="243"/>
        <v>13.448510733843822</v>
      </c>
      <c r="H580" s="307">
        <f t="shared" ca="1" si="244"/>
        <v>-123.2464148799873</v>
      </c>
      <c r="I580" s="304">
        <f t="shared" ca="1" si="245"/>
        <v>123.97798684334354</v>
      </c>
      <c r="J580" s="306">
        <f t="shared" ca="1" si="246"/>
        <v>764.67878961306644</v>
      </c>
      <c r="K580" s="307">
        <f t="shared" ca="1" si="247"/>
        <v>-4.5060815717770524</v>
      </c>
      <c r="L580" s="304">
        <f t="shared" ref="L580:L643" ca="1" si="261">SQRT(pos_x^2+pos_z^2)</f>
        <v>764.69206616469864</v>
      </c>
      <c r="M580" s="306">
        <f t="shared" ca="1" si="248"/>
        <v>-1.4621074692660005</v>
      </c>
      <c r="N580" s="304">
        <f t="shared" ca="1" si="249"/>
        <v>-83.77258718349556</v>
      </c>
      <c r="P580" s="310">
        <f t="shared" ca="1" si="250"/>
        <v>23</v>
      </c>
      <c r="Q580" s="304">
        <f t="shared" ca="1" si="251"/>
        <v>0</v>
      </c>
      <c r="R580" s="306">
        <f t="shared" ca="1" si="252"/>
        <v>0</v>
      </c>
      <c r="S580" s="307">
        <f t="shared" ca="1" si="253"/>
        <v>8.5499999999999989</v>
      </c>
      <c r="T580" s="304">
        <f t="shared" ref="T580:T643" ca="1" si="262">m*g</f>
        <v>83.875499999999988</v>
      </c>
      <c r="U580" s="311">
        <f t="shared" ref="U580:U643" ca="1" si="263">IF(pos_xz&lt;L_rampe,Poids*COS(Beta),0)</f>
        <v>0</v>
      </c>
      <c r="V580" s="306">
        <f t="shared" ref="V580:V643" ca="1" si="264">Rho_moyen*(20000-Alt_rampe-pos_z)/(20000+Alt_rampe+pos_z)</f>
        <v>1.2255521193872927</v>
      </c>
      <c r="W580" s="304">
        <f t="shared" ref="W580:W643" ca="1" si="265">1/2*Rho*Sref*Cx*vit_xz^2</f>
        <v>58.375095820135755</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2.9246560679452713</v>
      </c>
      <c r="AH580" s="304">
        <f t="shared" ca="1" si="260"/>
        <v>-6.8274559602952998</v>
      </c>
    </row>
    <row r="581" spans="1:34" x14ac:dyDescent="0.3">
      <c r="A581" s="347">
        <f t="shared" ref="A581:A644" ca="1" si="267">IF(B580+0.01&lt;=T_ini+ROUNDUP(Temps_fin_propu,0), 0.01, IF(K580&gt;0, 0.1, 0.0001))</f>
        <v>1E-4</v>
      </c>
      <c r="B581" s="304">
        <f t="shared" ref="B581:B644" ca="1" si="268">B580+pas</f>
        <v>33.106600000000419</v>
      </c>
      <c r="D581" s="306">
        <f t="shared" ref="D581:D644" ca="1" si="269">IF(AND(L580&lt;L_rampe,Poussee&lt;Poids*SIN(M580)),0,(-W580+Poussee)/m*COS(M580)-U580/m*SIN(M580))</f>
        <v>-0.74061261579925286</v>
      </c>
      <c r="E581" s="307">
        <f t="shared" ref="E581:E644" ca="1" si="270">IF(AND(L580&lt;L_rampe,Poussee&lt;Poids*SIN(M580)),0,(-W580+Poussee)/m*SIN(M580)+U580/m*COS(M580)-Poids/m)</f>
        <v>-3.0227912511203039</v>
      </c>
      <c r="F581" s="304">
        <f t="shared" ref="F581:F644" ca="1" si="271">SQRT(acc_x^2+acc_z^2)</f>
        <v>3.1121976149548192</v>
      </c>
      <c r="G581" s="306">
        <f t="shared" ref="G581:G644" ca="1" si="272">G580+acc_x*pas</f>
        <v>13.448436672582242</v>
      </c>
      <c r="H581" s="307">
        <f t="shared" ref="H581:H644" ca="1" si="273">H580+acc_z*pas</f>
        <v>-123.24671715911241</v>
      </c>
      <c r="I581" s="304">
        <f t="shared" ref="I581:I644" ca="1" si="274">SQRT(vit_x^2+vit_z^2)</f>
        <v>123.97827930502467</v>
      </c>
      <c r="J581" s="306">
        <f t="shared" ref="J581:J644" ca="1" si="275">J580+0.5*(vit_x+G580)*pas*(K580&gt;=0)</f>
        <v>764.67878961306644</v>
      </c>
      <c r="K581" s="307">
        <f t="shared" ref="K581:K644" ca="1" si="276">K580+0.5*(vit_z+H580)*pas</f>
        <v>-4.518406228379007</v>
      </c>
      <c r="L581" s="304">
        <f t="shared" ca="1" si="261"/>
        <v>764.69213888920615</v>
      </c>
      <c r="M581" s="306">
        <f t="shared" ref="M581:M644" ca="1" si="277">IF(AND(L580&gt;L_rampe,G581&gt;0),ATAN2(G581,H581),$M$4)</f>
        <v>-1.4621083275934803</v>
      </c>
      <c r="N581" s="304">
        <f t="shared" ref="N581:N644" ca="1" si="278">DEGREES(Beta)</f>
        <v>-83.772636362037588</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8.5499999999999989</v>
      </c>
      <c r="T581" s="304">
        <f t="shared" ca="1" si="262"/>
        <v>83.875499999999988</v>
      </c>
      <c r="U581" s="311">
        <f t="shared" ca="1" si="263"/>
        <v>0</v>
      </c>
      <c r="V581" s="306">
        <f t="shared" ca="1" si="264"/>
        <v>1.2255536298392025</v>
      </c>
      <c r="W581" s="304">
        <f t="shared" ca="1" si="265"/>
        <v>58.375443177600616</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2.9246163544834154</v>
      </c>
      <c r="AH581" s="304">
        <f t="shared" ref="AH581:AH644" ca="1" si="289">IF(AND(L580&lt;L_rampe,Poussee&lt;Poids*SIN(M580)), g*SIN(M580), (-W580+Poussee)/m)</f>
        <v>-6.8274965871503817</v>
      </c>
    </row>
    <row r="582" spans="1:34" x14ac:dyDescent="0.3">
      <c r="A582" s="347">
        <f t="shared" ca="1" si="267"/>
        <v>1E-4</v>
      </c>
      <c r="B582" s="304">
        <f t="shared" ca="1" si="268"/>
        <v>33.106700000000423</v>
      </c>
      <c r="D582" s="306">
        <f t="shared" ca="1" si="269"/>
        <v>-0.74061119708695711</v>
      </c>
      <c r="E582" s="307">
        <f t="shared" ca="1" si="270"/>
        <v>-3.0227502285571211</v>
      </c>
      <c r="F582" s="304">
        <f t="shared" ca="1" si="271"/>
        <v>3.1121574332756214</v>
      </c>
      <c r="G582" s="306">
        <f t="shared" ca="1" si="272"/>
        <v>13.448362611462533</v>
      </c>
      <c r="H582" s="307">
        <f t="shared" ca="1" si="273"/>
        <v>-123.24701943413527</v>
      </c>
      <c r="I582" s="304">
        <f t="shared" ca="1" si="274"/>
        <v>123.97857176273448</v>
      </c>
      <c r="J582" s="306">
        <f t="shared" ca="1" si="275"/>
        <v>764.67878961306644</v>
      </c>
      <c r="K582" s="307">
        <f t="shared" ca="1" si="276"/>
        <v>-4.530730915208669</v>
      </c>
      <c r="L582" s="304">
        <f t="shared" ca="1" si="261"/>
        <v>764.69221181252419</v>
      </c>
      <c r="M582" s="306">
        <f t="shared" ca="1" si="277"/>
        <v>-1.4621091859121835</v>
      </c>
      <c r="N582" s="304">
        <f t="shared" ca="1" si="278"/>
        <v>-83.772685540076765</v>
      </c>
      <c r="P582" s="310">
        <f t="shared" ca="1" si="279"/>
        <v>23</v>
      </c>
      <c r="Q582" s="304">
        <f t="shared" ca="1" si="280"/>
        <v>0</v>
      </c>
      <c r="R582" s="306">
        <f t="shared" ca="1" si="281"/>
        <v>0</v>
      </c>
      <c r="S582" s="307">
        <f t="shared" ca="1" si="282"/>
        <v>8.5499999999999989</v>
      </c>
      <c r="T582" s="304">
        <f t="shared" ca="1" si="262"/>
        <v>83.875499999999988</v>
      </c>
      <c r="U582" s="311">
        <f t="shared" ca="1" si="263"/>
        <v>0</v>
      </c>
      <c r="V582" s="306">
        <f t="shared" ca="1" si="264"/>
        <v>1.2255551402966784</v>
      </c>
      <c r="W582" s="304">
        <f t="shared" ca="1" si="265"/>
        <v>58.375790532919346</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2.9245766412560421</v>
      </c>
      <c r="AH582" s="304">
        <f t="shared" ca="1" si="289"/>
        <v>-6.827537213754459</v>
      </c>
    </row>
    <row r="583" spans="1:34" x14ac:dyDescent="0.3">
      <c r="A583" s="347">
        <f t="shared" ca="1" si="267"/>
        <v>1E-4</v>
      </c>
      <c r="B583" s="304">
        <f t="shared" ca="1" si="268"/>
        <v>33.106800000000426</v>
      </c>
      <c r="D583" s="306">
        <f t="shared" ca="1" si="269"/>
        <v>-0.74060977833712627</v>
      </c>
      <c r="E583" s="307">
        <f t="shared" ca="1" si="270"/>
        <v>-3.0227092062474012</v>
      </c>
      <c r="F583" s="304">
        <f t="shared" ca="1" si="271"/>
        <v>3.1121172518562603</v>
      </c>
      <c r="G583" s="306">
        <f t="shared" ca="1" si="272"/>
        <v>13.448288550484699</v>
      </c>
      <c r="H583" s="307">
        <f t="shared" ca="1" si="273"/>
        <v>-123.2473217050559</v>
      </c>
      <c r="I583" s="304">
        <f t="shared" ca="1" si="274"/>
        <v>123.97886421647296</v>
      </c>
      <c r="J583" s="306">
        <f t="shared" ca="1" si="275"/>
        <v>764.67878961306644</v>
      </c>
      <c r="K583" s="307">
        <f t="shared" ca="1" si="276"/>
        <v>-4.5430556322656281</v>
      </c>
      <c r="L583" s="304">
        <f t="shared" ca="1" si="261"/>
        <v>764.69228493465414</v>
      </c>
      <c r="M583" s="306">
        <f t="shared" ca="1" si="277"/>
        <v>-1.4621100442221109</v>
      </c>
      <c r="N583" s="304">
        <f t="shared" ca="1" si="278"/>
        <v>-83.772734717613105</v>
      </c>
      <c r="P583" s="310">
        <f t="shared" ca="1" si="279"/>
        <v>23</v>
      </c>
      <c r="Q583" s="304">
        <f t="shared" ca="1" si="280"/>
        <v>0</v>
      </c>
      <c r="R583" s="306">
        <f t="shared" ca="1" si="281"/>
        <v>0</v>
      </c>
      <c r="S583" s="307">
        <f t="shared" ca="1" si="282"/>
        <v>8.5499999999999989</v>
      </c>
      <c r="T583" s="304">
        <f t="shared" ca="1" si="262"/>
        <v>83.875499999999988</v>
      </c>
      <c r="U583" s="311">
        <f t="shared" ca="1" si="263"/>
        <v>0</v>
      </c>
      <c r="V583" s="306">
        <f t="shared" ca="1" si="264"/>
        <v>1.2255566507597209</v>
      </c>
      <c r="W583" s="304">
        <f t="shared" ca="1" si="265"/>
        <v>58.376137886091925</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2.9245369282631533</v>
      </c>
      <c r="AH583" s="304">
        <f t="shared" ca="1" si="289"/>
        <v>-6.8275778401075264</v>
      </c>
    </row>
    <row r="584" spans="1:34" x14ac:dyDescent="0.3">
      <c r="A584" s="347">
        <f t="shared" ca="1" si="267"/>
        <v>1E-4</v>
      </c>
      <c r="B584" s="304">
        <f t="shared" ca="1" si="268"/>
        <v>33.106900000000429</v>
      </c>
      <c r="D584" s="306">
        <f t="shared" ca="1" si="269"/>
        <v>-0.74060835954975757</v>
      </c>
      <c r="E584" s="307">
        <f t="shared" ca="1" si="270"/>
        <v>-3.0226681841911462</v>
      </c>
      <c r="F584" s="304">
        <f t="shared" ca="1" si="271"/>
        <v>3.1120770706967371</v>
      </c>
      <c r="G584" s="306">
        <f t="shared" ca="1" si="272"/>
        <v>13.448214489648745</v>
      </c>
      <c r="H584" s="307">
        <f t="shared" ca="1" si="273"/>
        <v>-123.24762397187432</v>
      </c>
      <c r="I584" s="304">
        <f t="shared" ca="1" si="274"/>
        <v>123.97915666624017</v>
      </c>
      <c r="J584" s="306">
        <f t="shared" ca="1" si="275"/>
        <v>764.67878961306644</v>
      </c>
      <c r="K584" s="307">
        <f t="shared" ca="1" si="276"/>
        <v>-4.5553803795494749</v>
      </c>
      <c r="L584" s="304">
        <f t="shared" ca="1" si="261"/>
        <v>764.69235825559724</v>
      </c>
      <c r="M584" s="306">
        <f t="shared" ca="1" si="277"/>
        <v>-1.4621109025232619</v>
      </c>
      <c r="N584" s="304">
        <f t="shared" ca="1" si="278"/>
        <v>-83.772783894646622</v>
      </c>
      <c r="P584" s="310">
        <f t="shared" ca="1" si="279"/>
        <v>23</v>
      </c>
      <c r="Q584" s="304">
        <f t="shared" ca="1" si="280"/>
        <v>0</v>
      </c>
      <c r="R584" s="306">
        <f t="shared" ca="1" si="281"/>
        <v>0</v>
      </c>
      <c r="S584" s="307">
        <f t="shared" ca="1" si="282"/>
        <v>8.5499999999999989</v>
      </c>
      <c r="T584" s="304">
        <f t="shared" ca="1" si="262"/>
        <v>83.875499999999988</v>
      </c>
      <c r="U584" s="311">
        <f t="shared" ca="1" si="263"/>
        <v>0</v>
      </c>
      <c r="V584" s="306">
        <f t="shared" ca="1" si="264"/>
        <v>1.2255581612283302</v>
      </c>
      <c r="W584" s="304">
        <f t="shared" ca="1" si="265"/>
        <v>58.376485237118381</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2.9244972155047533</v>
      </c>
      <c r="AH584" s="304">
        <f t="shared" ca="1" si="289"/>
        <v>-6.8276184662095831</v>
      </c>
    </row>
    <row r="585" spans="1:34" x14ac:dyDescent="0.3">
      <c r="A585" s="347">
        <f t="shared" ca="1" si="267"/>
        <v>1E-4</v>
      </c>
      <c r="B585" s="304">
        <f t="shared" ca="1" si="268"/>
        <v>33.107000000000433</v>
      </c>
      <c r="D585" s="306">
        <f t="shared" ca="1" si="269"/>
        <v>-0.740606940724856</v>
      </c>
      <c r="E585" s="307">
        <f t="shared" ca="1" si="270"/>
        <v>-3.0226271623883552</v>
      </c>
      <c r="F585" s="304">
        <f t="shared" ca="1" si="271"/>
        <v>3.1120368897970523</v>
      </c>
      <c r="G585" s="306">
        <f t="shared" ca="1" si="272"/>
        <v>13.448140428954673</v>
      </c>
      <c r="H585" s="307">
        <f t="shared" ca="1" si="273"/>
        <v>-123.24792623459055</v>
      </c>
      <c r="I585" s="304">
        <f t="shared" ca="1" si="274"/>
        <v>123.97944911203614</v>
      </c>
      <c r="J585" s="306">
        <f t="shared" ca="1" si="275"/>
        <v>764.67878961306644</v>
      </c>
      <c r="K585" s="307">
        <f t="shared" ca="1" si="276"/>
        <v>-4.5677051570597982</v>
      </c>
      <c r="L585" s="304">
        <f t="shared" ca="1" si="261"/>
        <v>764.6924317753552</v>
      </c>
      <c r="M585" s="306">
        <f t="shared" ca="1" si="277"/>
        <v>-1.4621117608156371</v>
      </c>
      <c r="N585" s="304">
        <f t="shared" ca="1" si="278"/>
        <v>-83.772833071177303</v>
      </c>
      <c r="P585" s="310">
        <f t="shared" ca="1" si="279"/>
        <v>23</v>
      </c>
      <c r="Q585" s="304">
        <f t="shared" ca="1" si="280"/>
        <v>0</v>
      </c>
      <c r="R585" s="306">
        <f t="shared" ca="1" si="281"/>
        <v>0</v>
      </c>
      <c r="S585" s="307">
        <f t="shared" ca="1" si="282"/>
        <v>8.5499999999999989</v>
      </c>
      <c r="T585" s="304">
        <f t="shared" ca="1" si="262"/>
        <v>83.875499999999988</v>
      </c>
      <c r="U585" s="311">
        <f t="shared" ca="1" si="263"/>
        <v>0</v>
      </c>
      <c r="V585" s="306">
        <f t="shared" ca="1" si="264"/>
        <v>1.2255596717025059</v>
      </c>
      <c r="W585" s="304">
        <f t="shared" ca="1" si="265"/>
        <v>58.376832585998692</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2.9244575029808395</v>
      </c>
      <c r="AH585" s="304">
        <f t="shared" ca="1" si="289"/>
        <v>-6.8276590920606299</v>
      </c>
    </row>
    <row r="586" spans="1:34" x14ac:dyDescent="0.3">
      <c r="A586" s="347">
        <f t="shared" ca="1" si="267"/>
        <v>1E-4</v>
      </c>
      <c r="B586" s="304">
        <f t="shared" ca="1" si="268"/>
        <v>33.107100000000436</v>
      </c>
      <c r="D586" s="306">
        <f t="shared" ca="1" si="269"/>
        <v>-0.74060552186242001</v>
      </c>
      <c r="E586" s="307">
        <f t="shared" ca="1" si="270"/>
        <v>-3.022586140839028</v>
      </c>
      <c r="F586" s="304">
        <f t="shared" ca="1" si="271"/>
        <v>3.1119967091572054</v>
      </c>
      <c r="G586" s="306">
        <f t="shared" ca="1" si="272"/>
        <v>13.448066368402486</v>
      </c>
      <c r="H586" s="307">
        <f t="shared" ca="1" si="273"/>
        <v>-123.24822849320464</v>
      </c>
      <c r="I586" s="304">
        <f t="shared" ca="1" si="274"/>
        <v>123.97974155386088</v>
      </c>
      <c r="J586" s="306">
        <f t="shared" ca="1" si="275"/>
        <v>764.67878961306644</v>
      </c>
      <c r="K586" s="307">
        <f t="shared" ca="1" si="276"/>
        <v>-4.5800299647961875</v>
      </c>
      <c r="L586" s="304">
        <f t="shared" ca="1" si="261"/>
        <v>764.69250549392905</v>
      </c>
      <c r="M586" s="306">
        <f t="shared" ca="1" si="277"/>
        <v>-1.4621126190992366</v>
      </c>
      <c r="N586" s="304">
        <f t="shared" ca="1" si="278"/>
        <v>-83.772882247205175</v>
      </c>
      <c r="P586" s="310">
        <f t="shared" ca="1" si="279"/>
        <v>23</v>
      </c>
      <c r="Q586" s="304">
        <f t="shared" ca="1" si="280"/>
        <v>0</v>
      </c>
      <c r="R586" s="306">
        <f t="shared" ca="1" si="281"/>
        <v>0</v>
      </c>
      <c r="S586" s="307">
        <f t="shared" ca="1" si="282"/>
        <v>8.5499999999999989</v>
      </c>
      <c r="T586" s="304">
        <f t="shared" ca="1" si="262"/>
        <v>83.875499999999988</v>
      </c>
      <c r="U586" s="311">
        <f t="shared" ca="1" si="263"/>
        <v>0</v>
      </c>
      <c r="V586" s="306">
        <f t="shared" ca="1" si="264"/>
        <v>1.2255611821822481</v>
      </c>
      <c r="W586" s="304">
        <f t="shared" ca="1" si="265"/>
        <v>58.377179932732837</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2.9244177906914137</v>
      </c>
      <c r="AH586" s="304">
        <f t="shared" ca="1" si="289"/>
        <v>-6.8276997176606669</v>
      </c>
    </row>
    <row r="587" spans="1:34" x14ac:dyDescent="0.3">
      <c r="A587" s="347">
        <f t="shared" ca="1" si="267"/>
        <v>1E-4</v>
      </c>
      <c r="B587" s="304">
        <f t="shared" ca="1" si="268"/>
        <v>33.107200000000439</v>
      </c>
      <c r="D587" s="306">
        <f t="shared" ca="1" si="269"/>
        <v>-0.74060410296244961</v>
      </c>
      <c r="E587" s="307">
        <f t="shared" ca="1" si="270"/>
        <v>-3.0225451195431692</v>
      </c>
      <c r="F587" s="304">
        <f t="shared" ca="1" si="271"/>
        <v>3.1119565287772009</v>
      </c>
      <c r="G587" s="306">
        <f t="shared" ca="1" si="272"/>
        <v>13.447992307992189</v>
      </c>
      <c r="H587" s="307">
        <f t="shared" ca="1" si="273"/>
        <v>-123.24853074771659</v>
      </c>
      <c r="I587" s="304">
        <f t="shared" ca="1" si="274"/>
        <v>123.98003399171439</v>
      </c>
      <c r="J587" s="306">
        <f t="shared" ca="1" si="275"/>
        <v>764.67878961306644</v>
      </c>
      <c r="K587" s="307">
        <f t="shared" ca="1" si="276"/>
        <v>-4.5923548027582335</v>
      </c>
      <c r="L587" s="304">
        <f t="shared" ca="1" si="261"/>
        <v>764.69257941132048</v>
      </c>
      <c r="M587" s="306">
        <f t="shared" ca="1" si="277"/>
        <v>-1.4621134773740605</v>
      </c>
      <c r="N587" s="304">
        <f t="shared" ca="1" si="278"/>
        <v>-83.772931422730252</v>
      </c>
      <c r="P587" s="310">
        <f t="shared" ca="1" si="279"/>
        <v>23</v>
      </c>
      <c r="Q587" s="304">
        <f t="shared" ca="1" si="280"/>
        <v>0</v>
      </c>
      <c r="R587" s="306">
        <f t="shared" ca="1" si="281"/>
        <v>0</v>
      </c>
      <c r="S587" s="307">
        <f t="shared" ca="1" si="282"/>
        <v>8.5499999999999989</v>
      </c>
      <c r="T587" s="304">
        <f t="shared" ca="1" si="262"/>
        <v>83.875499999999988</v>
      </c>
      <c r="U587" s="311">
        <f t="shared" ca="1" si="263"/>
        <v>0</v>
      </c>
      <c r="V587" s="306">
        <f t="shared" ca="1" si="264"/>
        <v>1.2255626926675565</v>
      </c>
      <c r="W587" s="304">
        <f t="shared" ca="1" si="265"/>
        <v>58.377527277320773</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2.9243780786364786</v>
      </c>
      <c r="AH587" s="304">
        <f t="shared" ca="1" si="289"/>
        <v>-6.8277403430096895</v>
      </c>
    </row>
    <row r="588" spans="1:34" x14ac:dyDescent="0.3">
      <c r="A588" s="347">
        <f t="shared" ca="1" si="267"/>
        <v>1E-4</v>
      </c>
      <c r="B588" s="304">
        <f t="shared" ca="1" si="268"/>
        <v>33.107300000000443</v>
      </c>
      <c r="D588" s="306">
        <f t="shared" ca="1" si="269"/>
        <v>-0.74060268402494578</v>
      </c>
      <c r="E588" s="307">
        <f t="shared" ca="1" si="270"/>
        <v>-3.0225040985007832</v>
      </c>
      <c r="F588" s="304">
        <f t="shared" ca="1" si="271"/>
        <v>3.1119163486570436</v>
      </c>
      <c r="G588" s="306">
        <f t="shared" ca="1" si="272"/>
        <v>13.447918247723786</v>
      </c>
      <c r="H588" s="307">
        <f t="shared" ca="1" si="273"/>
        <v>-123.24883299812643</v>
      </c>
      <c r="I588" s="304">
        <f t="shared" ca="1" si="274"/>
        <v>123.98032642559674</v>
      </c>
      <c r="J588" s="306">
        <f t="shared" ca="1" si="275"/>
        <v>764.67878961306644</v>
      </c>
      <c r="K588" s="307">
        <f t="shared" ca="1" si="276"/>
        <v>-4.6046796709455258</v>
      </c>
      <c r="L588" s="304">
        <f t="shared" ca="1" si="261"/>
        <v>764.69265352753087</v>
      </c>
      <c r="M588" s="306">
        <f t="shared" ca="1" si="277"/>
        <v>-1.4621143356401087</v>
      </c>
      <c r="N588" s="304">
        <f t="shared" ca="1" si="278"/>
        <v>-83.772980597752507</v>
      </c>
      <c r="P588" s="310">
        <f t="shared" ca="1" si="279"/>
        <v>23</v>
      </c>
      <c r="Q588" s="304">
        <f t="shared" ca="1" si="280"/>
        <v>0</v>
      </c>
      <c r="R588" s="306">
        <f t="shared" ca="1" si="281"/>
        <v>0</v>
      </c>
      <c r="S588" s="307">
        <f t="shared" ca="1" si="282"/>
        <v>8.5499999999999989</v>
      </c>
      <c r="T588" s="304">
        <f t="shared" ca="1" si="262"/>
        <v>83.875499999999988</v>
      </c>
      <c r="U588" s="311">
        <f t="shared" ca="1" si="263"/>
        <v>0</v>
      </c>
      <c r="V588" s="306">
        <f t="shared" ca="1" si="264"/>
        <v>1.2255642031584315</v>
      </c>
      <c r="W588" s="304">
        <f t="shared" ca="1" si="265"/>
        <v>58.377874619762537</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2.9243383668160385</v>
      </c>
      <c r="AH588" s="304">
        <f t="shared" ca="1" si="289"/>
        <v>-6.8277809681076933</v>
      </c>
    </row>
    <row r="589" spans="1:34" x14ac:dyDescent="0.3">
      <c r="A589" s="347">
        <f t="shared" ca="1" si="267"/>
        <v>1E-4</v>
      </c>
      <c r="B589" s="304">
        <f t="shared" ca="1" si="268"/>
        <v>33.107400000000446</v>
      </c>
      <c r="D589" s="306">
        <f t="shared" ca="1" si="269"/>
        <v>-0.74060126504991075</v>
      </c>
      <c r="E589" s="307">
        <f t="shared" ca="1" si="270"/>
        <v>-3.0224630777118637</v>
      </c>
      <c r="F589" s="304">
        <f t="shared" ca="1" si="271"/>
        <v>3.1118761687967278</v>
      </c>
      <c r="G589" s="306">
        <f t="shared" ca="1" si="272"/>
        <v>13.447844187597282</v>
      </c>
      <c r="H589" s="307">
        <f t="shared" ca="1" si="273"/>
        <v>-123.2491352444342</v>
      </c>
      <c r="I589" s="304">
        <f t="shared" ca="1" si="274"/>
        <v>123.98061885550793</v>
      </c>
      <c r="J589" s="306">
        <f t="shared" ca="1" si="275"/>
        <v>764.67878961306644</v>
      </c>
      <c r="K589" s="307">
        <f t="shared" ca="1" si="276"/>
        <v>-4.617004569357654</v>
      </c>
      <c r="L589" s="304">
        <f t="shared" ca="1" si="261"/>
        <v>764.69272784256145</v>
      </c>
      <c r="M589" s="306">
        <f t="shared" ca="1" si="277"/>
        <v>-1.4621151938973818</v>
      </c>
      <c r="N589" s="304">
        <f t="shared" ca="1" si="278"/>
        <v>-83.773029772271997</v>
      </c>
      <c r="P589" s="310">
        <f t="shared" ca="1" si="279"/>
        <v>23</v>
      </c>
      <c r="Q589" s="304">
        <f t="shared" ca="1" si="280"/>
        <v>0</v>
      </c>
      <c r="R589" s="306">
        <f t="shared" ca="1" si="281"/>
        <v>0</v>
      </c>
      <c r="S589" s="307">
        <f t="shared" ca="1" si="282"/>
        <v>8.5499999999999989</v>
      </c>
      <c r="T589" s="304">
        <f t="shared" ca="1" si="262"/>
        <v>83.875499999999988</v>
      </c>
      <c r="U589" s="311">
        <f t="shared" ca="1" si="263"/>
        <v>0</v>
      </c>
      <c r="V589" s="306">
        <f t="shared" ca="1" si="264"/>
        <v>1.225565713654873</v>
      </c>
      <c r="W589" s="304">
        <f t="shared" ca="1" si="265"/>
        <v>58.378221960058092</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2.9242986552300936</v>
      </c>
      <c r="AH589" s="304">
        <f t="shared" ca="1" si="289"/>
        <v>-6.8278215929546837</v>
      </c>
    </row>
    <row r="590" spans="1:34" x14ac:dyDescent="0.3">
      <c r="A590" s="347">
        <f t="shared" ca="1" si="267"/>
        <v>1E-4</v>
      </c>
      <c r="B590" s="304">
        <f t="shared" ca="1" si="268"/>
        <v>33.107500000000449</v>
      </c>
      <c r="D590" s="306">
        <f t="shared" ca="1" si="269"/>
        <v>-0.74059984603734297</v>
      </c>
      <c r="E590" s="307">
        <f t="shared" ca="1" si="270"/>
        <v>-3.0224220571764189</v>
      </c>
      <c r="F590" s="304">
        <f t="shared" ca="1" si="271"/>
        <v>3.111835989196261</v>
      </c>
      <c r="G590" s="306">
        <f t="shared" ca="1" si="272"/>
        <v>13.447770127612678</v>
      </c>
      <c r="H590" s="307">
        <f t="shared" ca="1" si="273"/>
        <v>-123.24943748663992</v>
      </c>
      <c r="I590" s="304">
        <f t="shared" ca="1" si="274"/>
        <v>123.98091128144797</v>
      </c>
      <c r="J590" s="306">
        <f t="shared" ca="1" si="275"/>
        <v>764.67878961306644</v>
      </c>
      <c r="K590" s="307">
        <f t="shared" ca="1" si="276"/>
        <v>-4.6293294979942079</v>
      </c>
      <c r="L590" s="304">
        <f t="shared" ca="1" si="261"/>
        <v>764.69280235641384</v>
      </c>
      <c r="M590" s="306">
        <f t="shared" ca="1" si="277"/>
        <v>-1.4621160521458796</v>
      </c>
      <c r="N590" s="304">
        <f t="shared" ca="1" si="278"/>
        <v>-83.773078946288692</v>
      </c>
      <c r="P590" s="310">
        <f t="shared" ca="1" si="279"/>
        <v>23</v>
      </c>
      <c r="Q590" s="304">
        <f t="shared" ca="1" si="280"/>
        <v>0</v>
      </c>
      <c r="R590" s="306">
        <f t="shared" ca="1" si="281"/>
        <v>0</v>
      </c>
      <c r="S590" s="307">
        <f t="shared" ca="1" si="282"/>
        <v>8.5499999999999989</v>
      </c>
      <c r="T590" s="304">
        <f t="shared" ca="1" si="262"/>
        <v>83.875499999999988</v>
      </c>
      <c r="U590" s="311">
        <f t="shared" ca="1" si="263"/>
        <v>0</v>
      </c>
      <c r="V590" s="306">
        <f t="shared" ca="1" si="264"/>
        <v>1.2255672241568805</v>
      </c>
      <c r="W590" s="304">
        <f t="shared" ca="1" si="265"/>
        <v>58.378569298207402</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2.9242589438786482</v>
      </c>
      <c r="AH590" s="304">
        <f t="shared" ca="1" si="289"/>
        <v>-6.8278622175506545</v>
      </c>
    </row>
    <row r="591" spans="1:34" x14ac:dyDescent="0.3">
      <c r="A591" s="347">
        <f t="shared" ca="1" si="267"/>
        <v>1E-4</v>
      </c>
      <c r="B591" s="304">
        <f t="shared" ca="1" si="268"/>
        <v>33.107600000000453</v>
      </c>
      <c r="D591" s="306">
        <f t="shared" ca="1" si="269"/>
        <v>-0.74059842698724343</v>
      </c>
      <c r="E591" s="307">
        <f t="shared" ca="1" si="270"/>
        <v>-3.0223810368944495</v>
      </c>
      <c r="F591" s="304">
        <f t="shared" ca="1" si="271"/>
        <v>3.1117958098556446</v>
      </c>
      <c r="G591" s="306">
        <f t="shared" ca="1" si="272"/>
        <v>13.447696067769979</v>
      </c>
      <c r="H591" s="307">
        <f t="shared" ca="1" si="273"/>
        <v>-123.24973972474361</v>
      </c>
      <c r="I591" s="304">
        <f t="shared" ca="1" si="274"/>
        <v>123.98120370341691</v>
      </c>
      <c r="J591" s="306">
        <f t="shared" ca="1" si="275"/>
        <v>764.67878961306644</v>
      </c>
      <c r="K591" s="307">
        <f t="shared" ca="1" si="276"/>
        <v>-4.6416544568547771</v>
      </c>
      <c r="L591" s="304">
        <f t="shared" ca="1" si="261"/>
        <v>764.69287706908915</v>
      </c>
      <c r="M591" s="306">
        <f t="shared" ca="1" si="277"/>
        <v>-1.4621169103856022</v>
      </c>
      <c r="N591" s="304">
        <f t="shared" ca="1" si="278"/>
        <v>-83.773128119802607</v>
      </c>
      <c r="P591" s="310">
        <f t="shared" ca="1" si="279"/>
        <v>23</v>
      </c>
      <c r="Q591" s="304">
        <f t="shared" ca="1" si="280"/>
        <v>0</v>
      </c>
      <c r="R591" s="306">
        <f t="shared" ca="1" si="281"/>
        <v>0</v>
      </c>
      <c r="S591" s="307">
        <f t="shared" ca="1" si="282"/>
        <v>8.5499999999999989</v>
      </c>
      <c r="T591" s="304">
        <f t="shared" ca="1" si="262"/>
        <v>83.875499999999988</v>
      </c>
      <c r="U591" s="311">
        <f t="shared" ca="1" si="263"/>
        <v>0</v>
      </c>
      <c r="V591" s="306">
        <f t="shared" ca="1" si="264"/>
        <v>1.2255687346644546</v>
      </c>
      <c r="W591" s="304">
        <f t="shared" ca="1" si="265"/>
        <v>58.378916634210505</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2.9242192327616987</v>
      </c>
      <c r="AH591" s="304">
        <f t="shared" ca="1" si="289"/>
        <v>-6.8279028418956038</v>
      </c>
    </row>
    <row r="592" spans="1:34" x14ac:dyDescent="0.3">
      <c r="A592" s="347">
        <f t="shared" ca="1" si="267"/>
        <v>1E-4</v>
      </c>
      <c r="B592" s="304">
        <f t="shared" ca="1" si="268"/>
        <v>33.107700000000456</v>
      </c>
      <c r="D592" s="306">
        <f t="shared" ca="1" si="269"/>
        <v>-0.74059700789961447</v>
      </c>
      <c r="E592" s="307">
        <f t="shared" ca="1" si="270"/>
        <v>-3.0223400168659529</v>
      </c>
      <c r="F592" s="304">
        <f t="shared" ca="1" si="271"/>
        <v>3.1117556307748768</v>
      </c>
      <c r="G592" s="306">
        <f t="shared" ca="1" si="272"/>
        <v>13.447622008069189</v>
      </c>
      <c r="H592" s="307">
        <f t="shared" ca="1" si="273"/>
        <v>-123.25004195874529</v>
      </c>
      <c r="I592" s="304">
        <f t="shared" ca="1" si="274"/>
        <v>123.98149612141475</v>
      </c>
      <c r="J592" s="306">
        <f t="shared" ca="1" si="275"/>
        <v>764.67878961306644</v>
      </c>
      <c r="K592" s="307">
        <f t="shared" ca="1" si="276"/>
        <v>-4.6539794459389512</v>
      </c>
      <c r="L592" s="304">
        <f t="shared" ca="1" si="261"/>
        <v>764.6929519805891</v>
      </c>
      <c r="M592" s="306">
        <f t="shared" ca="1" si="277"/>
        <v>-1.4621177686165499</v>
      </c>
      <c r="N592" s="304">
        <f t="shared" ca="1" si="278"/>
        <v>-83.773177292813756</v>
      </c>
      <c r="P592" s="310">
        <f t="shared" ca="1" si="279"/>
        <v>23</v>
      </c>
      <c r="Q592" s="304">
        <f t="shared" ca="1" si="280"/>
        <v>0</v>
      </c>
      <c r="R592" s="306">
        <f t="shared" ca="1" si="281"/>
        <v>0</v>
      </c>
      <c r="S592" s="307">
        <f t="shared" ca="1" si="282"/>
        <v>8.5499999999999989</v>
      </c>
      <c r="T592" s="304">
        <f t="shared" ca="1" si="262"/>
        <v>83.875499999999988</v>
      </c>
      <c r="U592" s="311">
        <f t="shared" ca="1" si="263"/>
        <v>0</v>
      </c>
      <c r="V592" s="306">
        <f t="shared" ca="1" si="264"/>
        <v>1.2255702451775943</v>
      </c>
      <c r="W592" s="304">
        <f t="shared" ca="1" si="265"/>
        <v>58.379263968067306</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2.9241795218792541</v>
      </c>
      <c r="AH592" s="304">
        <f t="shared" ca="1" si="289"/>
        <v>-6.8279434659895335</v>
      </c>
    </row>
    <row r="593" spans="1:34" x14ac:dyDescent="0.3">
      <c r="A593" s="347">
        <f t="shared" ca="1" si="267"/>
        <v>1E-4</v>
      </c>
      <c r="B593" s="304">
        <f t="shared" ca="1" si="268"/>
        <v>33.107800000000459</v>
      </c>
      <c r="D593" s="306">
        <f t="shared" ca="1" si="269"/>
        <v>-0.74059558877445519</v>
      </c>
      <c r="E593" s="307">
        <f t="shared" ca="1" si="270"/>
        <v>-3.0222989970909389</v>
      </c>
      <c r="F593" s="304">
        <f t="shared" ca="1" si="271"/>
        <v>3.1117154519539665</v>
      </c>
      <c r="G593" s="306">
        <f t="shared" ca="1" si="272"/>
        <v>13.447547948510312</v>
      </c>
      <c r="H593" s="307">
        <f t="shared" ca="1" si="273"/>
        <v>-123.25034418864499</v>
      </c>
      <c r="I593" s="304">
        <f t="shared" ca="1" si="274"/>
        <v>123.98178853544152</v>
      </c>
      <c r="J593" s="306">
        <f t="shared" ca="1" si="275"/>
        <v>764.67878961306644</v>
      </c>
      <c r="K593" s="307">
        <f t="shared" ca="1" si="276"/>
        <v>-4.6663044652463208</v>
      </c>
      <c r="L593" s="304">
        <f t="shared" ca="1" si="261"/>
        <v>764.69302709091494</v>
      </c>
      <c r="M593" s="306">
        <f t="shared" ca="1" si="277"/>
        <v>-1.462118626838723</v>
      </c>
      <c r="N593" s="304">
        <f t="shared" ca="1" si="278"/>
        <v>-83.773226465322153</v>
      </c>
      <c r="P593" s="310">
        <f t="shared" ca="1" si="279"/>
        <v>23</v>
      </c>
      <c r="Q593" s="304">
        <f t="shared" ca="1" si="280"/>
        <v>0</v>
      </c>
      <c r="R593" s="306">
        <f t="shared" ca="1" si="281"/>
        <v>0</v>
      </c>
      <c r="S593" s="307">
        <f t="shared" ca="1" si="282"/>
        <v>8.5499999999999989</v>
      </c>
      <c r="T593" s="304">
        <f t="shared" ca="1" si="262"/>
        <v>83.875499999999988</v>
      </c>
      <c r="U593" s="311">
        <f t="shared" ca="1" si="263"/>
        <v>0</v>
      </c>
      <c r="V593" s="306">
        <f t="shared" ca="1" si="264"/>
        <v>1.2255717556963006</v>
      </c>
      <c r="W593" s="304">
        <f t="shared" ca="1" si="265"/>
        <v>58.379611299777864</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2.9241398112313144</v>
      </c>
      <c r="AH593" s="304">
        <f t="shared" ca="1" si="289"/>
        <v>-6.8279840898324347</v>
      </c>
    </row>
    <row r="594" spans="1:34" x14ac:dyDescent="0.3">
      <c r="A594" s="347">
        <f t="shared" ca="1" si="267"/>
        <v>1E-4</v>
      </c>
      <c r="B594" s="304">
        <f t="shared" ca="1" si="268"/>
        <v>33.107900000000463</v>
      </c>
      <c r="D594" s="306">
        <f t="shared" ca="1" si="269"/>
        <v>-0.74059416961176494</v>
      </c>
      <c r="E594" s="307">
        <f t="shared" ca="1" si="270"/>
        <v>-3.0222579775694021</v>
      </c>
      <c r="F594" s="304">
        <f t="shared" ca="1" si="271"/>
        <v>3.1116752733929087</v>
      </c>
      <c r="G594" s="306">
        <f t="shared" ca="1" si="272"/>
        <v>13.447473889093351</v>
      </c>
      <c r="H594" s="307">
        <f t="shared" ca="1" si="273"/>
        <v>-123.25064641444274</v>
      </c>
      <c r="I594" s="304">
        <f t="shared" ca="1" si="274"/>
        <v>123.98208094549726</v>
      </c>
      <c r="J594" s="306">
        <f t="shared" ca="1" si="275"/>
        <v>764.67878961306644</v>
      </c>
      <c r="K594" s="307">
        <f t="shared" ca="1" si="276"/>
        <v>-4.6786295147764756</v>
      </c>
      <c r="L594" s="304">
        <f t="shared" ca="1" si="261"/>
        <v>764.69310240006803</v>
      </c>
      <c r="M594" s="306">
        <f t="shared" ca="1" si="277"/>
        <v>-1.4621194850521211</v>
      </c>
      <c r="N594" s="304">
        <f t="shared" ca="1" si="278"/>
        <v>-83.773275637327799</v>
      </c>
      <c r="P594" s="310">
        <f t="shared" ca="1" si="279"/>
        <v>23</v>
      </c>
      <c r="Q594" s="304">
        <f t="shared" ca="1" si="280"/>
        <v>0</v>
      </c>
      <c r="R594" s="306">
        <f t="shared" ca="1" si="281"/>
        <v>0</v>
      </c>
      <c r="S594" s="307">
        <f t="shared" ca="1" si="282"/>
        <v>8.5499999999999989</v>
      </c>
      <c r="T594" s="304">
        <f t="shared" ca="1" si="262"/>
        <v>83.875499999999988</v>
      </c>
      <c r="U594" s="311">
        <f t="shared" ca="1" si="263"/>
        <v>0</v>
      </c>
      <c r="V594" s="306">
        <f t="shared" ca="1" si="264"/>
        <v>1.2255732662205732</v>
      </c>
      <c r="W594" s="304">
        <f t="shared" ca="1" si="265"/>
        <v>58.379958629342156</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2.9241001008178795</v>
      </c>
      <c r="AH594" s="304">
        <f t="shared" ca="1" si="289"/>
        <v>-6.8280247134243126</v>
      </c>
    </row>
    <row r="595" spans="1:34" x14ac:dyDescent="0.3">
      <c r="A595" s="347">
        <f t="shared" ca="1" si="267"/>
        <v>1E-4</v>
      </c>
      <c r="B595" s="304">
        <f t="shared" ca="1" si="268"/>
        <v>33.108000000000466</v>
      </c>
      <c r="D595" s="306">
        <f t="shared" ca="1" si="269"/>
        <v>-0.74059275041154804</v>
      </c>
      <c r="E595" s="307">
        <f t="shared" ca="1" si="270"/>
        <v>-3.0222169583013452</v>
      </c>
      <c r="F595" s="304">
        <f t="shared" ca="1" si="271"/>
        <v>3.1116350950917071</v>
      </c>
      <c r="G595" s="306">
        <f t="shared" ca="1" si="272"/>
        <v>13.447399829818309</v>
      </c>
      <c r="H595" s="307">
        <f t="shared" ca="1" si="273"/>
        <v>-123.25094863613857</v>
      </c>
      <c r="I595" s="304">
        <f t="shared" ca="1" si="274"/>
        <v>123.98237335158198</v>
      </c>
      <c r="J595" s="306">
        <f t="shared" ca="1" si="275"/>
        <v>764.67878961306644</v>
      </c>
      <c r="K595" s="307">
        <f t="shared" ca="1" si="276"/>
        <v>-4.6909545945290043</v>
      </c>
      <c r="L595" s="304">
        <f t="shared" ca="1" si="261"/>
        <v>764.69317790804985</v>
      </c>
      <c r="M595" s="306">
        <f t="shared" ca="1" si="277"/>
        <v>-1.4621203432567449</v>
      </c>
      <c r="N595" s="304">
        <f t="shared" ca="1" si="278"/>
        <v>-83.773324808830694</v>
      </c>
      <c r="P595" s="310">
        <f t="shared" ca="1" si="279"/>
        <v>23</v>
      </c>
      <c r="Q595" s="304">
        <f t="shared" ca="1" si="280"/>
        <v>0</v>
      </c>
      <c r="R595" s="306">
        <f t="shared" ca="1" si="281"/>
        <v>0</v>
      </c>
      <c r="S595" s="307">
        <f t="shared" ca="1" si="282"/>
        <v>8.5499999999999989</v>
      </c>
      <c r="T595" s="304">
        <f t="shared" ca="1" si="262"/>
        <v>83.875499999999988</v>
      </c>
      <c r="U595" s="311">
        <f t="shared" ca="1" si="263"/>
        <v>0</v>
      </c>
      <c r="V595" s="306">
        <f t="shared" ca="1" si="264"/>
        <v>1.2255747767504117</v>
      </c>
      <c r="W595" s="304">
        <f t="shared" ca="1" si="265"/>
        <v>58.380305956760147</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2.9240603906389477</v>
      </c>
      <c r="AH595" s="304">
        <f t="shared" ca="1" si="289"/>
        <v>-6.8280653367651656</v>
      </c>
    </row>
    <row r="596" spans="1:34" x14ac:dyDescent="0.3">
      <c r="A596" s="347">
        <f t="shared" ca="1" si="267"/>
        <v>1E-4</v>
      </c>
      <c r="B596" s="304">
        <f t="shared" ca="1" si="268"/>
        <v>33.108100000000469</v>
      </c>
      <c r="D596" s="306">
        <f t="shared" ca="1" si="269"/>
        <v>-0.74059133117380138</v>
      </c>
      <c r="E596" s="307">
        <f t="shared" ca="1" si="270"/>
        <v>-3.0221759392867709</v>
      </c>
      <c r="F596" s="304">
        <f t="shared" ca="1" si="271"/>
        <v>3.1115949170503634</v>
      </c>
      <c r="G596" s="306">
        <f t="shared" ca="1" si="272"/>
        <v>13.447325770685191</v>
      </c>
      <c r="H596" s="307">
        <f t="shared" ca="1" si="273"/>
        <v>-123.2512508537325</v>
      </c>
      <c r="I596" s="304">
        <f t="shared" ca="1" si="274"/>
        <v>123.9826657536957</v>
      </c>
      <c r="J596" s="306">
        <f t="shared" ca="1" si="275"/>
        <v>764.67878961306644</v>
      </c>
      <c r="K596" s="307">
        <f t="shared" ca="1" si="276"/>
        <v>-4.7032797045034975</v>
      </c>
      <c r="L596" s="304">
        <f t="shared" ca="1" si="261"/>
        <v>764.69325361486165</v>
      </c>
      <c r="M596" s="306">
        <f t="shared" ca="1" si="277"/>
        <v>-1.4621212014525942</v>
      </c>
      <c r="N596" s="304">
        <f t="shared" ca="1" si="278"/>
        <v>-83.773373979830851</v>
      </c>
      <c r="P596" s="310">
        <f t="shared" ca="1" si="279"/>
        <v>23</v>
      </c>
      <c r="Q596" s="304">
        <f t="shared" ca="1" si="280"/>
        <v>0</v>
      </c>
      <c r="R596" s="306">
        <f t="shared" ca="1" si="281"/>
        <v>0</v>
      </c>
      <c r="S596" s="307">
        <f t="shared" ca="1" si="282"/>
        <v>8.5499999999999989</v>
      </c>
      <c r="T596" s="304">
        <f t="shared" ca="1" si="262"/>
        <v>83.875499999999988</v>
      </c>
      <c r="U596" s="311">
        <f t="shared" ca="1" si="263"/>
        <v>0</v>
      </c>
      <c r="V596" s="306">
        <f t="shared" ca="1" si="264"/>
        <v>1.2255762872858165</v>
      </c>
      <c r="W596" s="304">
        <f t="shared" ca="1" si="265"/>
        <v>58.38065328203183</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2.9240206806945306</v>
      </c>
      <c r="AH596" s="304">
        <f t="shared" ca="1" si="289"/>
        <v>-6.8281059598549891</v>
      </c>
    </row>
    <row r="597" spans="1:34" x14ac:dyDescent="0.3">
      <c r="A597" s="347">
        <f t="shared" ca="1" si="267"/>
        <v>1E-4</v>
      </c>
      <c r="B597" s="304">
        <f t="shared" ca="1" si="268"/>
        <v>33.108200000000473</v>
      </c>
      <c r="D597" s="306">
        <f t="shared" ca="1" si="269"/>
        <v>-0.74058991189852796</v>
      </c>
      <c r="E597" s="307">
        <f t="shared" ca="1" si="270"/>
        <v>-3.0221349205256818</v>
      </c>
      <c r="F597" s="304">
        <f t="shared" ca="1" si="271"/>
        <v>3.1115547392688816</v>
      </c>
      <c r="G597" s="306">
        <f t="shared" ca="1" si="272"/>
        <v>13.447251711694001</v>
      </c>
      <c r="H597" s="307">
        <f t="shared" ca="1" si="273"/>
        <v>-123.25155306722455</v>
      </c>
      <c r="I597" s="304">
        <f t="shared" ca="1" si="274"/>
        <v>123.98295815183846</v>
      </c>
      <c r="J597" s="306">
        <f t="shared" ca="1" si="275"/>
        <v>764.67878961306644</v>
      </c>
      <c r="K597" s="307">
        <f t="shared" ca="1" si="276"/>
        <v>-4.7156048446995458</v>
      </c>
      <c r="L597" s="304">
        <f t="shared" ca="1" si="261"/>
        <v>764.69332952050502</v>
      </c>
      <c r="M597" s="306">
        <f t="shared" ca="1" si="277"/>
        <v>-1.4621220596396693</v>
      </c>
      <c r="N597" s="304">
        <f t="shared" ca="1" si="278"/>
        <v>-83.773423150328298</v>
      </c>
      <c r="P597" s="310">
        <f t="shared" ca="1" si="279"/>
        <v>23</v>
      </c>
      <c r="Q597" s="304">
        <f t="shared" ca="1" si="280"/>
        <v>0</v>
      </c>
      <c r="R597" s="306">
        <f t="shared" ca="1" si="281"/>
        <v>0</v>
      </c>
      <c r="S597" s="307">
        <f t="shared" ca="1" si="282"/>
        <v>8.5499999999999989</v>
      </c>
      <c r="T597" s="304">
        <f t="shared" ca="1" si="262"/>
        <v>83.875499999999988</v>
      </c>
      <c r="U597" s="311">
        <f t="shared" ca="1" si="263"/>
        <v>0</v>
      </c>
      <c r="V597" s="306">
        <f t="shared" ca="1" si="264"/>
        <v>1.2255777978267874</v>
      </c>
      <c r="W597" s="304">
        <f t="shared" ca="1" si="265"/>
        <v>58.381000605157219</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2.9239809709846218</v>
      </c>
      <c r="AH597" s="304">
        <f t="shared" ca="1" si="289"/>
        <v>-6.8281465826937824</v>
      </c>
    </row>
    <row r="598" spans="1:34" x14ac:dyDescent="0.3">
      <c r="A598" s="347">
        <f t="shared" ca="1" si="267"/>
        <v>1E-4</v>
      </c>
      <c r="B598" s="304">
        <f t="shared" ca="1" si="268"/>
        <v>33.108300000000476</v>
      </c>
      <c r="D598" s="306">
        <f t="shared" ca="1" si="269"/>
        <v>-0.74058849258572679</v>
      </c>
      <c r="E598" s="307">
        <f t="shared" ca="1" si="270"/>
        <v>-3.0220939020180735</v>
      </c>
      <c r="F598" s="304">
        <f t="shared" ca="1" si="271"/>
        <v>3.1115145617472568</v>
      </c>
      <c r="G598" s="306">
        <f t="shared" ca="1" si="272"/>
        <v>13.447177652844742</v>
      </c>
      <c r="H598" s="307">
        <f t="shared" ca="1" si="273"/>
        <v>-123.25185527661475</v>
      </c>
      <c r="I598" s="304">
        <f t="shared" ca="1" si="274"/>
        <v>123.98325054601025</v>
      </c>
      <c r="J598" s="306">
        <f t="shared" ca="1" si="275"/>
        <v>764.67878961306644</v>
      </c>
      <c r="K598" s="307">
        <f t="shared" ca="1" si="276"/>
        <v>-4.7279300151167378</v>
      </c>
      <c r="L598" s="304">
        <f t="shared" ca="1" si="261"/>
        <v>764.69340562498132</v>
      </c>
      <c r="M598" s="306">
        <f t="shared" ca="1" si="277"/>
        <v>-1.4621229178179702</v>
      </c>
      <c r="N598" s="304">
        <f t="shared" ca="1" si="278"/>
        <v>-83.773472320323009</v>
      </c>
      <c r="P598" s="310">
        <f t="shared" ca="1" si="279"/>
        <v>23</v>
      </c>
      <c r="Q598" s="304">
        <f t="shared" ca="1" si="280"/>
        <v>0</v>
      </c>
      <c r="R598" s="306">
        <f t="shared" ca="1" si="281"/>
        <v>0</v>
      </c>
      <c r="S598" s="307">
        <f t="shared" ca="1" si="282"/>
        <v>8.5499999999999989</v>
      </c>
      <c r="T598" s="304">
        <f t="shared" ca="1" si="262"/>
        <v>83.875499999999988</v>
      </c>
      <c r="U598" s="311">
        <f t="shared" ca="1" si="263"/>
        <v>0</v>
      </c>
      <c r="V598" s="306">
        <f t="shared" ca="1" si="264"/>
        <v>1.2255793083733242</v>
      </c>
      <c r="W598" s="304">
        <f t="shared" ca="1" si="265"/>
        <v>58.381347926136229</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2.9239412615092251</v>
      </c>
      <c r="AH598" s="304">
        <f t="shared" ca="1" si="289"/>
        <v>-6.8281872052815471</v>
      </c>
    </row>
    <row r="599" spans="1:34" x14ac:dyDescent="0.3">
      <c r="A599" s="347">
        <f t="shared" ca="1" si="267"/>
        <v>1E-4</v>
      </c>
      <c r="B599" s="304">
        <f t="shared" ca="1" si="268"/>
        <v>33.108400000000479</v>
      </c>
      <c r="D599" s="306">
        <f t="shared" ca="1" si="269"/>
        <v>-0.74058707323540007</v>
      </c>
      <c r="E599" s="307">
        <f t="shared" ca="1" si="270"/>
        <v>-3.0220528837639584</v>
      </c>
      <c r="F599" s="304">
        <f t="shared" ca="1" si="271"/>
        <v>3.111474384485502</v>
      </c>
      <c r="G599" s="306">
        <f t="shared" ca="1" si="272"/>
        <v>13.447103594137419</v>
      </c>
      <c r="H599" s="307">
        <f t="shared" ca="1" si="273"/>
        <v>-123.25215748190313</v>
      </c>
      <c r="I599" s="304">
        <f t="shared" ca="1" si="274"/>
        <v>123.98354293621114</v>
      </c>
      <c r="J599" s="306">
        <f t="shared" ca="1" si="275"/>
        <v>764.67878961306644</v>
      </c>
      <c r="K599" s="307">
        <f t="shared" ca="1" si="276"/>
        <v>-4.7402552157546634</v>
      </c>
      <c r="L599" s="304">
        <f t="shared" ca="1" si="261"/>
        <v>764.69348192829182</v>
      </c>
      <c r="M599" s="306">
        <f t="shared" ca="1" si="277"/>
        <v>-1.4621237759874972</v>
      </c>
      <c r="N599" s="304">
        <f t="shared" ca="1" si="278"/>
        <v>-83.77352148981501</v>
      </c>
      <c r="P599" s="310">
        <f t="shared" ca="1" si="279"/>
        <v>23</v>
      </c>
      <c r="Q599" s="304">
        <f t="shared" ca="1" si="280"/>
        <v>0</v>
      </c>
      <c r="R599" s="306">
        <f t="shared" ca="1" si="281"/>
        <v>0</v>
      </c>
      <c r="S599" s="307">
        <f t="shared" ca="1" si="282"/>
        <v>8.5499999999999989</v>
      </c>
      <c r="T599" s="304">
        <f t="shared" ca="1" si="262"/>
        <v>83.875499999999988</v>
      </c>
      <c r="U599" s="311">
        <f t="shared" ca="1" si="263"/>
        <v>0</v>
      </c>
      <c r="V599" s="306">
        <f t="shared" ca="1" si="264"/>
        <v>1.2255808189254271</v>
      </c>
      <c r="W599" s="304">
        <f t="shared" ca="1" si="265"/>
        <v>58.381695244968938</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2.9239015522683482</v>
      </c>
      <c r="AH599" s="304">
        <f t="shared" ca="1" si="289"/>
        <v>-6.8282278276182735</v>
      </c>
    </row>
    <row r="600" spans="1:34" x14ac:dyDescent="0.3">
      <c r="A600" s="347">
        <f t="shared" ca="1" si="267"/>
        <v>1E-4</v>
      </c>
      <c r="B600" s="304">
        <f t="shared" ca="1" si="268"/>
        <v>33.108500000000483</v>
      </c>
      <c r="D600" s="306">
        <f t="shared" ca="1" si="269"/>
        <v>-0.74058565384754749</v>
      </c>
      <c r="E600" s="307">
        <f t="shared" ca="1" si="270"/>
        <v>-3.0220118657633277</v>
      </c>
      <c r="F600" s="304">
        <f t="shared" ca="1" si="271"/>
        <v>3.1114342074836077</v>
      </c>
      <c r="G600" s="306">
        <f t="shared" ca="1" si="272"/>
        <v>13.447029535572034</v>
      </c>
      <c r="H600" s="307">
        <f t="shared" ca="1" si="273"/>
        <v>-123.2524596830897</v>
      </c>
      <c r="I600" s="304">
        <f t="shared" ca="1" si="274"/>
        <v>123.98383532244112</v>
      </c>
      <c r="J600" s="306">
        <f t="shared" ca="1" si="275"/>
        <v>764.67878961306644</v>
      </c>
      <c r="K600" s="307">
        <f t="shared" ca="1" si="276"/>
        <v>-4.7525804466129129</v>
      </c>
      <c r="L600" s="304">
        <f t="shared" ca="1" si="261"/>
        <v>764.69355843043809</v>
      </c>
      <c r="M600" s="306">
        <f t="shared" ca="1" si="277"/>
        <v>-1.4621246341482503</v>
      </c>
      <c r="N600" s="304">
        <f t="shared" ca="1" si="278"/>
        <v>-83.773570658804303</v>
      </c>
      <c r="P600" s="310">
        <f t="shared" ca="1" si="279"/>
        <v>23</v>
      </c>
      <c r="Q600" s="304">
        <f t="shared" ca="1" si="280"/>
        <v>0</v>
      </c>
      <c r="R600" s="306">
        <f t="shared" ca="1" si="281"/>
        <v>0</v>
      </c>
      <c r="S600" s="307">
        <f t="shared" ca="1" si="282"/>
        <v>8.5499999999999989</v>
      </c>
      <c r="T600" s="304">
        <f t="shared" ca="1" si="262"/>
        <v>83.875499999999988</v>
      </c>
      <c r="U600" s="311">
        <f t="shared" ca="1" si="263"/>
        <v>0</v>
      </c>
      <c r="V600" s="306">
        <f t="shared" ca="1" si="264"/>
        <v>1.2255823294830961</v>
      </c>
      <c r="W600" s="304">
        <f t="shared" ca="1" si="265"/>
        <v>58.382042561655275</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2.9238618432619825</v>
      </c>
      <c r="AH600" s="304">
        <f t="shared" ca="1" si="289"/>
        <v>-6.8282684497039705</v>
      </c>
    </row>
    <row r="601" spans="1:34" x14ac:dyDescent="0.3">
      <c r="A601" s="347">
        <f t="shared" ca="1" si="267"/>
        <v>1E-4</v>
      </c>
      <c r="B601" s="304">
        <f t="shared" ca="1" si="268"/>
        <v>33.108600000000486</v>
      </c>
      <c r="D601" s="306">
        <f t="shared" ca="1" si="269"/>
        <v>-0.74058423442216958</v>
      </c>
      <c r="E601" s="307">
        <f t="shared" ca="1" si="270"/>
        <v>-3.0219708480161884</v>
      </c>
      <c r="F601" s="304">
        <f t="shared" ca="1" si="271"/>
        <v>3.1113940307415824</v>
      </c>
      <c r="G601" s="306">
        <f t="shared" ca="1" si="272"/>
        <v>13.446955477148592</v>
      </c>
      <c r="H601" s="307">
        <f t="shared" ca="1" si="273"/>
        <v>-123.2527618801745</v>
      </c>
      <c r="I601" s="304">
        <f t="shared" ca="1" si="274"/>
        <v>123.98412770470023</v>
      </c>
      <c r="J601" s="306">
        <f t="shared" ca="1" si="275"/>
        <v>764.67878961306644</v>
      </c>
      <c r="K601" s="307">
        <f t="shared" ca="1" si="276"/>
        <v>-4.7649057076910761</v>
      </c>
      <c r="L601" s="304">
        <f t="shared" ca="1" si="261"/>
        <v>764.6936351314215</v>
      </c>
      <c r="M601" s="306">
        <f t="shared" ca="1" si="277"/>
        <v>-1.4621254923002298</v>
      </c>
      <c r="N601" s="304">
        <f t="shared" ca="1" si="278"/>
        <v>-83.773619827290915</v>
      </c>
      <c r="P601" s="310">
        <f t="shared" ca="1" si="279"/>
        <v>23</v>
      </c>
      <c r="Q601" s="304">
        <f t="shared" ca="1" si="280"/>
        <v>0</v>
      </c>
      <c r="R601" s="306">
        <f t="shared" ca="1" si="281"/>
        <v>0</v>
      </c>
      <c r="S601" s="307">
        <f t="shared" ca="1" si="282"/>
        <v>8.5499999999999989</v>
      </c>
      <c r="T601" s="304">
        <f t="shared" ca="1" si="262"/>
        <v>83.875499999999988</v>
      </c>
      <c r="U601" s="311">
        <f t="shared" ca="1" si="263"/>
        <v>0</v>
      </c>
      <c r="V601" s="306">
        <f t="shared" ca="1" si="264"/>
        <v>1.225583840046331</v>
      </c>
      <c r="W601" s="304">
        <f t="shared" ca="1" si="265"/>
        <v>58.382389876195241</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2.9238221344901403</v>
      </c>
      <c r="AH601" s="304">
        <f t="shared" ca="1" si="289"/>
        <v>-6.8283090715386292</v>
      </c>
    </row>
    <row r="602" spans="1:34" x14ac:dyDescent="0.3">
      <c r="A602" s="347">
        <f t="shared" ca="1" si="267"/>
        <v>1E-4</v>
      </c>
      <c r="B602" s="304">
        <f t="shared" ca="1" si="268"/>
        <v>33.108700000000489</v>
      </c>
      <c r="D602" s="306">
        <f t="shared" ca="1" si="269"/>
        <v>-0.74058281495926692</v>
      </c>
      <c r="E602" s="307">
        <f t="shared" ca="1" si="270"/>
        <v>-3.0219298305225406</v>
      </c>
      <c r="F602" s="304">
        <f t="shared" ca="1" si="271"/>
        <v>3.1113538542594257</v>
      </c>
      <c r="G602" s="306">
        <f t="shared" ca="1" si="272"/>
        <v>13.446881418867095</v>
      </c>
      <c r="H602" s="307">
        <f t="shared" ca="1" si="273"/>
        <v>-123.25306407315756</v>
      </c>
      <c r="I602" s="304">
        <f t="shared" ca="1" si="274"/>
        <v>123.98442008298848</v>
      </c>
      <c r="J602" s="306">
        <f t="shared" ca="1" si="275"/>
        <v>764.67878961306644</v>
      </c>
      <c r="K602" s="307">
        <f t="shared" ca="1" si="276"/>
        <v>-4.7772309989887427</v>
      </c>
      <c r="L602" s="304">
        <f t="shared" ca="1" si="261"/>
        <v>764.69371203124331</v>
      </c>
      <c r="M602" s="306">
        <f t="shared" ca="1" si="277"/>
        <v>-1.4621263504434356</v>
      </c>
      <c r="N602" s="304">
        <f t="shared" ca="1" si="278"/>
        <v>-83.773668995274818</v>
      </c>
      <c r="P602" s="310">
        <f t="shared" ca="1" si="279"/>
        <v>23</v>
      </c>
      <c r="Q602" s="304">
        <f t="shared" ca="1" si="280"/>
        <v>0</v>
      </c>
      <c r="R602" s="306">
        <f t="shared" ca="1" si="281"/>
        <v>0</v>
      </c>
      <c r="S602" s="307">
        <f t="shared" ca="1" si="282"/>
        <v>8.5499999999999989</v>
      </c>
      <c r="T602" s="304">
        <f t="shared" ca="1" si="262"/>
        <v>83.875499999999988</v>
      </c>
      <c r="U602" s="311">
        <f t="shared" ca="1" si="263"/>
        <v>0</v>
      </c>
      <c r="V602" s="306">
        <f t="shared" ca="1" si="264"/>
        <v>1.2255853506151313</v>
      </c>
      <c r="W602" s="304">
        <f t="shared" ca="1" si="265"/>
        <v>58.382737188588798</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2.9237824259528145</v>
      </c>
      <c r="AH602" s="304">
        <f t="shared" ca="1" si="289"/>
        <v>-6.8283496931222514</v>
      </c>
    </row>
    <row r="603" spans="1:34" x14ac:dyDescent="0.3">
      <c r="A603" s="347">
        <f t="shared" ca="1" si="267"/>
        <v>1E-4</v>
      </c>
      <c r="B603" s="304">
        <f t="shared" ca="1" si="268"/>
        <v>33.108800000000493</v>
      </c>
      <c r="D603" s="306">
        <f t="shared" ca="1" si="269"/>
        <v>-0.74058139545884039</v>
      </c>
      <c r="E603" s="307">
        <f t="shared" ca="1" si="270"/>
        <v>-3.0218888132823887</v>
      </c>
      <c r="F603" s="304">
        <f t="shared" ca="1" si="271"/>
        <v>3.1113136780371415</v>
      </c>
      <c r="G603" s="306">
        <f t="shared" ca="1" si="272"/>
        <v>13.446807360727549</v>
      </c>
      <c r="H603" s="307">
        <f t="shared" ca="1" si="273"/>
        <v>-123.2533662620389</v>
      </c>
      <c r="I603" s="304">
        <f t="shared" ca="1" si="274"/>
        <v>123.9847124573059</v>
      </c>
      <c r="J603" s="306">
        <f t="shared" ca="1" si="275"/>
        <v>764.67878961306644</v>
      </c>
      <c r="K603" s="307">
        <f t="shared" ca="1" si="276"/>
        <v>-4.7895563205055023</v>
      </c>
      <c r="L603" s="304">
        <f t="shared" ca="1" si="261"/>
        <v>764.69378912990499</v>
      </c>
      <c r="M603" s="306">
        <f t="shared" ca="1" si="277"/>
        <v>-1.462127208577868</v>
      </c>
      <c r="N603" s="304">
        <f t="shared" ca="1" si="278"/>
        <v>-83.773718162756055</v>
      </c>
      <c r="P603" s="310">
        <f t="shared" ca="1" si="279"/>
        <v>23</v>
      </c>
      <c r="Q603" s="304">
        <f t="shared" ca="1" si="280"/>
        <v>0</v>
      </c>
      <c r="R603" s="306">
        <f t="shared" ca="1" si="281"/>
        <v>0</v>
      </c>
      <c r="S603" s="307">
        <f t="shared" ca="1" si="282"/>
        <v>8.5499999999999989</v>
      </c>
      <c r="T603" s="304">
        <f t="shared" ca="1" si="262"/>
        <v>83.875499999999988</v>
      </c>
      <c r="U603" s="311">
        <f t="shared" ca="1" si="263"/>
        <v>0</v>
      </c>
      <c r="V603" s="306">
        <f t="shared" ca="1" si="264"/>
        <v>1.225586861189498</v>
      </c>
      <c r="W603" s="304">
        <f t="shared" ca="1" si="265"/>
        <v>58.383084498835977</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2.9237427176500184</v>
      </c>
      <c r="AH603" s="304">
        <f t="shared" ca="1" si="289"/>
        <v>-6.8283903144548308</v>
      </c>
    </row>
    <row r="604" spans="1:34" x14ac:dyDescent="0.3">
      <c r="A604" s="347">
        <f t="shared" ca="1" si="267"/>
        <v>1E-4</v>
      </c>
      <c r="B604" s="304">
        <f t="shared" ca="1" si="268"/>
        <v>33.108900000000496</v>
      </c>
      <c r="D604" s="306">
        <f t="shared" ca="1" si="269"/>
        <v>-0.74057997592089109</v>
      </c>
      <c r="E604" s="307">
        <f t="shared" ca="1" si="270"/>
        <v>-3.0218477962957291</v>
      </c>
      <c r="F604" s="304">
        <f t="shared" ca="1" si="271"/>
        <v>3.1112735020747277</v>
      </c>
      <c r="G604" s="306">
        <f t="shared" ca="1" si="272"/>
        <v>13.446733302729957</v>
      </c>
      <c r="H604" s="307">
        <f t="shared" ca="1" si="273"/>
        <v>-123.25366844681852</v>
      </c>
      <c r="I604" s="304">
        <f t="shared" ca="1" si="274"/>
        <v>123.9850048276525</v>
      </c>
      <c r="J604" s="306">
        <f t="shared" ca="1" si="275"/>
        <v>764.67878961306644</v>
      </c>
      <c r="K604" s="307">
        <f t="shared" ca="1" si="276"/>
        <v>-4.8018816722409454</v>
      </c>
      <c r="L604" s="304">
        <f t="shared" ca="1" si="261"/>
        <v>764.69386642740801</v>
      </c>
      <c r="M604" s="306">
        <f t="shared" ca="1" si="277"/>
        <v>-1.4621280667035272</v>
      </c>
      <c r="N604" s="304">
        <f t="shared" ca="1" si="278"/>
        <v>-83.773767329734625</v>
      </c>
      <c r="P604" s="310">
        <f t="shared" ca="1" si="279"/>
        <v>23</v>
      </c>
      <c r="Q604" s="304">
        <f t="shared" ca="1" si="280"/>
        <v>0</v>
      </c>
      <c r="R604" s="306">
        <f t="shared" ca="1" si="281"/>
        <v>0</v>
      </c>
      <c r="S604" s="307">
        <f t="shared" ca="1" si="282"/>
        <v>8.5499999999999989</v>
      </c>
      <c r="T604" s="304">
        <f t="shared" ca="1" si="262"/>
        <v>83.875499999999988</v>
      </c>
      <c r="U604" s="311">
        <f t="shared" ca="1" si="263"/>
        <v>0</v>
      </c>
      <c r="V604" s="306">
        <f t="shared" ca="1" si="264"/>
        <v>1.2255883717694303</v>
      </c>
      <c r="W604" s="304">
        <f t="shared" ca="1" si="265"/>
        <v>58.383431806936706</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2.9237030095817396</v>
      </c>
      <c r="AH604" s="304">
        <f t="shared" ca="1" si="289"/>
        <v>-6.8284309355363728</v>
      </c>
    </row>
    <row r="605" spans="1:34" x14ac:dyDescent="0.3">
      <c r="A605" s="347">
        <f t="shared" ca="1" si="267"/>
        <v>1E-4</v>
      </c>
      <c r="B605" s="304">
        <f t="shared" ca="1" si="268"/>
        <v>33.109000000000499</v>
      </c>
      <c r="D605" s="306">
        <f t="shared" ca="1" si="269"/>
        <v>-0.74057855634541769</v>
      </c>
      <c r="E605" s="307">
        <f t="shared" ca="1" si="270"/>
        <v>-3.0218067795625707</v>
      </c>
      <c r="F605" s="304">
        <f t="shared" ca="1" si="271"/>
        <v>3.1112333263721927</v>
      </c>
      <c r="G605" s="306">
        <f t="shared" ca="1" si="272"/>
        <v>13.446659244874322</v>
      </c>
      <c r="H605" s="307">
        <f t="shared" ca="1" si="273"/>
        <v>-123.25397062749649</v>
      </c>
      <c r="I605" s="304">
        <f t="shared" ca="1" si="274"/>
        <v>123.98529719402833</v>
      </c>
      <c r="J605" s="306">
        <f t="shared" ca="1" si="275"/>
        <v>764.67878961306644</v>
      </c>
      <c r="K605" s="307">
        <f t="shared" ca="1" si="276"/>
        <v>-4.8142070541946609</v>
      </c>
      <c r="L605" s="304">
        <f t="shared" ca="1" si="261"/>
        <v>764.69394392375375</v>
      </c>
      <c r="M605" s="306">
        <f t="shared" ca="1" si="277"/>
        <v>-1.4621289248204132</v>
      </c>
      <c r="N605" s="304">
        <f t="shared" ca="1" si="278"/>
        <v>-83.773816496210515</v>
      </c>
      <c r="P605" s="310">
        <f t="shared" ca="1" si="279"/>
        <v>23</v>
      </c>
      <c r="Q605" s="304">
        <f t="shared" ca="1" si="280"/>
        <v>0</v>
      </c>
      <c r="R605" s="306">
        <f t="shared" ca="1" si="281"/>
        <v>0</v>
      </c>
      <c r="S605" s="307">
        <f t="shared" ca="1" si="282"/>
        <v>8.5499999999999989</v>
      </c>
      <c r="T605" s="304">
        <f t="shared" ca="1" si="262"/>
        <v>83.875499999999988</v>
      </c>
      <c r="U605" s="311">
        <f t="shared" ca="1" si="263"/>
        <v>0</v>
      </c>
      <c r="V605" s="306">
        <f t="shared" ca="1" si="264"/>
        <v>1.2255898823549285</v>
      </c>
      <c r="W605" s="304">
        <f t="shared" ca="1" si="265"/>
        <v>58.383779112891048</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2.9236633017479976</v>
      </c>
      <c r="AH605" s="304">
        <f t="shared" ca="1" si="289"/>
        <v>-6.8284715563668668</v>
      </c>
    </row>
    <row r="606" spans="1:34" x14ac:dyDescent="0.3">
      <c r="A606" s="347">
        <f t="shared" ca="1" si="267"/>
        <v>1E-4</v>
      </c>
      <c r="B606" s="304">
        <f t="shared" ca="1" si="268"/>
        <v>33.109100000000502</v>
      </c>
      <c r="D606" s="306">
        <f t="shared" ca="1" si="269"/>
        <v>-0.74057713673242331</v>
      </c>
      <c r="E606" s="307">
        <f t="shared" ca="1" si="270"/>
        <v>-3.0217657630829065</v>
      </c>
      <c r="F606" s="304">
        <f t="shared" ca="1" si="271"/>
        <v>3.1111931509295299</v>
      </c>
      <c r="G606" s="306">
        <f t="shared" ca="1" si="272"/>
        <v>13.446585187160649</v>
      </c>
      <c r="H606" s="307">
        <f t="shared" ca="1" si="273"/>
        <v>-123.2542728040728</v>
      </c>
      <c r="I606" s="304">
        <f t="shared" ca="1" si="274"/>
        <v>123.9855895564334</v>
      </c>
      <c r="J606" s="306">
        <f t="shared" ca="1" si="275"/>
        <v>764.67878961306644</v>
      </c>
      <c r="K606" s="307">
        <f t="shared" ca="1" si="276"/>
        <v>-4.8265324663662392</v>
      </c>
      <c r="L606" s="304">
        <f t="shared" ca="1" si="261"/>
        <v>764.69402161894345</v>
      </c>
      <c r="M606" s="306">
        <f t="shared" ca="1" si="277"/>
        <v>-1.462129782928526</v>
      </c>
      <c r="N606" s="304">
        <f t="shared" ca="1" si="278"/>
        <v>-83.773865662183752</v>
      </c>
      <c r="P606" s="310">
        <f t="shared" ca="1" si="279"/>
        <v>23</v>
      </c>
      <c r="Q606" s="304">
        <f t="shared" ca="1" si="280"/>
        <v>0</v>
      </c>
      <c r="R606" s="306">
        <f t="shared" ca="1" si="281"/>
        <v>0</v>
      </c>
      <c r="S606" s="307">
        <f t="shared" ca="1" si="282"/>
        <v>8.5499999999999989</v>
      </c>
      <c r="T606" s="304">
        <f t="shared" ca="1" si="262"/>
        <v>83.875499999999988</v>
      </c>
      <c r="U606" s="311">
        <f t="shared" ca="1" si="263"/>
        <v>0</v>
      </c>
      <c r="V606" s="306">
        <f t="shared" ca="1" si="264"/>
        <v>1.2255913929459927</v>
      </c>
      <c r="W606" s="304">
        <f t="shared" ca="1" si="265"/>
        <v>58.384126416698948</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2.9236235941487756</v>
      </c>
      <c r="AH606" s="304">
        <f t="shared" ca="1" si="289"/>
        <v>-6.8285121769463224</v>
      </c>
    </row>
    <row r="607" spans="1:34" x14ac:dyDescent="0.3">
      <c r="A607" s="347">
        <f t="shared" ca="1" si="267"/>
        <v>1E-4</v>
      </c>
      <c r="B607" s="304">
        <f t="shared" ca="1" si="268"/>
        <v>33.109200000000506</v>
      </c>
      <c r="D607" s="306">
        <f t="shared" ca="1" si="269"/>
        <v>-0.74057571708190861</v>
      </c>
      <c r="E607" s="307">
        <f t="shared" ca="1" si="270"/>
        <v>-3.0217247468567416</v>
      </c>
      <c r="F607" s="304">
        <f t="shared" ca="1" si="271"/>
        <v>3.111152975746744</v>
      </c>
      <c r="G607" s="306">
        <f t="shared" ca="1" si="272"/>
        <v>13.44651112958894</v>
      </c>
      <c r="H607" s="307">
        <f t="shared" ca="1" si="273"/>
        <v>-123.25457497654749</v>
      </c>
      <c r="I607" s="304">
        <f t="shared" ca="1" si="274"/>
        <v>123.98588191486773</v>
      </c>
      <c r="J607" s="306">
        <f t="shared" ca="1" si="275"/>
        <v>764.67878961306644</v>
      </c>
      <c r="K607" s="307">
        <f t="shared" ca="1" si="276"/>
        <v>-4.8388579087552701</v>
      </c>
      <c r="L607" s="304">
        <f t="shared" ca="1" si="261"/>
        <v>764.69409951297871</v>
      </c>
      <c r="M607" s="306">
        <f t="shared" ca="1" si="277"/>
        <v>-1.4621306410278661</v>
      </c>
      <c r="N607" s="304">
        <f t="shared" ca="1" si="278"/>
        <v>-83.773914827654338</v>
      </c>
      <c r="P607" s="310">
        <f t="shared" ca="1" si="279"/>
        <v>23</v>
      </c>
      <c r="Q607" s="304">
        <f t="shared" ca="1" si="280"/>
        <v>0</v>
      </c>
      <c r="R607" s="306">
        <f t="shared" ca="1" si="281"/>
        <v>0</v>
      </c>
      <c r="S607" s="307">
        <f t="shared" ca="1" si="282"/>
        <v>8.5499999999999989</v>
      </c>
      <c r="T607" s="304">
        <f t="shared" ca="1" si="262"/>
        <v>83.875499999999988</v>
      </c>
      <c r="U607" s="311">
        <f t="shared" ca="1" si="263"/>
        <v>0</v>
      </c>
      <c r="V607" s="306">
        <f t="shared" ca="1" si="264"/>
        <v>1.2255929035426223</v>
      </c>
      <c r="W607" s="304">
        <f t="shared" ca="1" si="265"/>
        <v>58.384473718360368</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2.9235838867840869</v>
      </c>
      <c r="AH607" s="304">
        <f t="shared" ca="1" si="289"/>
        <v>-6.8285527972747317</v>
      </c>
    </row>
    <row r="608" spans="1:34" x14ac:dyDescent="0.3">
      <c r="A608" s="347">
        <f t="shared" ca="1" si="267"/>
        <v>1E-4</v>
      </c>
      <c r="B608" s="304">
        <f t="shared" ca="1" si="268"/>
        <v>33.109300000000509</v>
      </c>
      <c r="D608" s="306">
        <f t="shared" ca="1" si="269"/>
        <v>-0.74057429739387182</v>
      </c>
      <c r="E608" s="307">
        <f t="shared" ca="1" si="270"/>
        <v>-3.0216837308840816</v>
      </c>
      <c r="F608" s="304">
        <f t="shared" ca="1" si="271"/>
        <v>3.1111128008238418</v>
      </c>
      <c r="G608" s="306">
        <f t="shared" ca="1" si="272"/>
        <v>13.446437072159201</v>
      </c>
      <c r="H608" s="307">
        <f t="shared" ca="1" si="273"/>
        <v>-123.25487714492057</v>
      </c>
      <c r="I608" s="304">
        <f t="shared" ca="1" si="274"/>
        <v>123.98617426933133</v>
      </c>
      <c r="J608" s="306">
        <f t="shared" ca="1" si="275"/>
        <v>764.67878961306644</v>
      </c>
      <c r="K608" s="307">
        <f t="shared" ca="1" si="276"/>
        <v>-4.8511833813613432</v>
      </c>
      <c r="L608" s="304">
        <f t="shared" ca="1" si="261"/>
        <v>764.69417760586089</v>
      </c>
      <c r="M608" s="306">
        <f t="shared" ca="1" si="277"/>
        <v>-1.4621314991184335</v>
      </c>
      <c r="N608" s="304">
        <f t="shared" ca="1" si="278"/>
        <v>-83.773963992622285</v>
      </c>
      <c r="P608" s="310">
        <f t="shared" ca="1" si="279"/>
        <v>23</v>
      </c>
      <c r="Q608" s="304">
        <f t="shared" ca="1" si="280"/>
        <v>0</v>
      </c>
      <c r="R608" s="306">
        <f t="shared" ca="1" si="281"/>
        <v>0</v>
      </c>
      <c r="S608" s="307">
        <f t="shared" ca="1" si="282"/>
        <v>8.5499999999999989</v>
      </c>
      <c r="T608" s="304">
        <f t="shared" ca="1" si="262"/>
        <v>83.875499999999988</v>
      </c>
      <c r="U608" s="311">
        <f t="shared" ca="1" si="263"/>
        <v>0</v>
      </c>
      <c r="V608" s="306">
        <f t="shared" ca="1" si="264"/>
        <v>1.2255944141448178</v>
      </c>
      <c r="W608" s="304">
        <f t="shared" ca="1" si="265"/>
        <v>58.384821017875325</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2.9235441796539323</v>
      </c>
      <c r="AH608" s="304">
        <f t="shared" ca="1" si="289"/>
        <v>-6.8285934173520904</v>
      </c>
    </row>
    <row r="609" spans="1:34" x14ac:dyDescent="0.3">
      <c r="A609" s="347">
        <f t="shared" ca="1" si="267"/>
        <v>1E-4</v>
      </c>
      <c r="B609" s="304">
        <f t="shared" ca="1" si="268"/>
        <v>33.109400000000512</v>
      </c>
      <c r="D609" s="306">
        <f t="shared" ca="1" si="269"/>
        <v>-0.74057287766831359</v>
      </c>
      <c r="E609" s="307">
        <f t="shared" ca="1" si="270"/>
        <v>-3.0216427151649219</v>
      </c>
      <c r="F609" s="304">
        <f t="shared" ca="1" si="271"/>
        <v>3.1110726261608179</v>
      </c>
      <c r="G609" s="306">
        <f t="shared" ca="1" si="272"/>
        <v>13.446363014871434</v>
      </c>
      <c r="H609" s="307">
        <f t="shared" ca="1" si="273"/>
        <v>-123.25517930919209</v>
      </c>
      <c r="I609" s="304">
        <f t="shared" ca="1" si="274"/>
        <v>123.98646661982426</v>
      </c>
      <c r="J609" s="306">
        <f t="shared" ca="1" si="275"/>
        <v>764.67878961306644</v>
      </c>
      <c r="K609" s="307">
        <f t="shared" ca="1" si="276"/>
        <v>-4.863508884184049</v>
      </c>
      <c r="L609" s="304">
        <f t="shared" ca="1" si="261"/>
        <v>764.69425589759135</v>
      </c>
      <c r="M609" s="306">
        <f t="shared" ca="1" si="277"/>
        <v>-1.462132357200228</v>
      </c>
      <c r="N609" s="304">
        <f t="shared" ca="1" si="278"/>
        <v>-83.774013157087595</v>
      </c>
      <c r="P609" s="310">
        <f t="shared" ca="1" si="279"/>
        <v>23</v>
      </c>
      <c r="Q609" s="304">
        <f t="shared" ca="1" si="280"/>
        <v>0</v>
      </c>
      <c r="R609" s="306">
        <f t="shared" ca="1" si="281"/>
        <v>0</v>
      </c>
      <c r="S609" s="307">
        <f t="shared" ca="1" si="282"/>
        <v>8.5499999999999989</v>
      </c>
      <c r="T609" s="304">
        <f t="shared" ca="1" si="262"/>
        <v>83.875499999999988</v>
      </c>
      <c r="U609" s="311">
        <f t="shared" ca="1" si="263"/>
        <v>0</v>
      </c>
      <c r="V609" s="306">
        <f t="shared" ca="1" si="264"/>
        <v>1.2255959247525789</v>
      </c>
      <c r="W609" s="304">
        <f t="shared" ca="1" si="265"/>
        <v>58.385168315243796</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2.9235044727583137</v>
      </c>
      <c r="AH609" s="304">
        <f t="shared" ca="1" si="289"/>
        <v>-6.8286340371784018</v>
      </c>
    </row>
    <row r="610" spans="1:34" x14ac:dyDescent="0.3">
      <c r="A610" s="347">
        <f t="shared" ca="1" si="267"/>
        <v>1E-4</v>
      </c>
      <c r="B610" s="304">
        <f t="shared" ca="1" si="268"/>
        <v>33.109500000000516</v>
      </c>
      <c r="D610" s="306">
        <f t="shared" ca="1" si="269"/>
        <v>-0.74057145790523804</v>
      </c>
      <c r="E610" s="307">
        <f t="shared" ca="1" si="270"/>
        <v>-3.0216016996992696</v>
      </c>
      <c r="F610" s="304">
        <f t="shared" ca="1" si="271"/>
        <v>3.1110324517576808</v>
      </c>
      <c r="G610" s="306">
        <f t="shared" ca="1" si="272"/>
        <v>13.446288957725644</v>
      </c>
      <c r="H610" s="307">
        <f t="shared" ca="1" si="273"/>
        <v>-123.25548146936205</v>
      </c>
      <c r="I610" s="304">
        <f t="shared" ca="1" si="274"/>
        <v>123.98675896634651</v>
      </c>
      <c r="J610" s="306">
        <f t="shared" ca="1" si="275"/>
        <v>764.67878961306644</v>
      </c>
      <c r="K610" s="307">
        <f t="shared" ca="1" si="276"/>
        <v>-4.8758344172229764</v>
      </c>
      <c r="L610" s="304">
        <f t="shared" ca="1" si="261"/>
        <v>764.69433438817146</v>
      </c>
      <c r="M610" s="306">
        <f t="shared" ca="1" si="277"/>
        <v>-1.4621332152732502</v>
      </c>
      <c r="N610" s="304">
        <f t="shared" ca="1" si="278"/>
        <v>-83.77406232105028</v>
      </c>
      <c r="P610" s="310">
        <f t="shared" ca="1" si="279"/>
        <v>23</v>
      </c>
      <c r="Q610" s="304">
        <f t="shared" ca="1" si="280"/>
        <v>0</v>
      </c>
      <c r="R610" s="306">
        <f t="shared" ca="1" si="281"/>
        <v>0</v>
      </c>
      <c r="S610" s="307">
        <f t="shared" ca="1" si="282"/>
        <v>8.5499999999999989</v>
      </c>
      <c r="T610" s="304">
        <f t="shared" ca="1" si="262"/>
        <v>83.875499999999988</v>
      </c>
      <c r="U610" s="311">
        <f t="shared" ca="1" si="263"/>
        <v>0</v>
      </c>
      <c r="V610" s="306">
        <f t="shared" ca="1" si="264"/>
        <v>1.2255974353659058</v>
      </c>
      <c r="W610" s="304">
        <f t="shared" ca="1" si="265"/>
        <v>58.385515610465781</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2.9234647660972302</v>
      </c>
      <c r="AH610" s="304">
        <f t="shared" ca="1" si="289"/>
        <v>-6.8286746567536616</v>
      </c>
    </row>
    <row r="611" spans="1:34" x14ac:dyDescent="0.3">
      <c r="A611" s="347">
        <f t="shared" ca="1" si="267"/>
        <v>1E-4</v>
      </c>
      <c r="B611" s="304">
        <f t="shared" ca="1" si="268"/>
        <v>33.109600000000519</v>
      </c>
      <c r="D611" s="306">
        <f t="shared" ca="1" si="269"/>
        <v>-0.7405700381046425</v>
      </c>
      <c r="E611" s="307">
        <f t="shared" ca="1" si="270"/>
        <v>-3.021560684487123</v>
      </c>
      <c r="F611" s="304">
        <f t="shared" ca="1" si="271"/>
        <v>3.1109922776144274</v>
      </c>
      <c r="G611" s="306">
        <f t="shared" ca="1" si="272"/>
        <v>13.446214900721833</v>
      </c>
      <c r="H611" s="307">
        <f t="shared" ca="1" si="273"/>
        <v>-123.2557836254305</v>
      </c>
      <c r="I611" s="304">
        <f t="shared" ca="1" si="274"/>
        <v>123.98705130889812</v>
      </c>
      <c r="J611" s="306">
        <f t="shared" ca="1" si="275"/>
        <v>764.67878961306644</v>
      </c>
      <c r="K611" s="307">
        <f t="shared" ca="1" si="276"/>
        <v>-4.8881599804777158</v>
      </c>
      <c r="L611" s="304">
        <f t="shared" ca="1" si="261"/>
        <v>764.69441307760258</v>
      </c>
      <c r="M611" s="306">
        <f t="shared" ca="1" si="277"/>
        <v>-1.4621340733375003</v>
      </c>
      <c r="N611" s="304">
        <f t="shared" ca="1" si="278"/>
        <v>-83.774111484510357</v>
      </c>
      <c r="P611" s="310">
        <f t="shared" ca="1" si="279"/>
        <v>23</v>
      </c>
      <c r="Q611" s="304">
        <f t="shared" ca="1" si="280"/>
        <v>0</v>
      </c>
      <c r="R611" s="306">
        <f t="shared" ca="1" si="281"/>
        <v>0</v>
      </c>
      <c r="S611" s="307">
        <f t="shared" ca="1" si="282"/>
        <v>8.5499999999999989</v>
      </c>
      <c r="T611" s="304">
        <f t="shared" ca="1" si="262"/>
        <v>83.875499999999988</v>
      </c>
      <c r="U611" s="311">
        <f t="shared" ca="1" si="263"/>
        <v>0</v>
      </c>
      <c r="V611" s="306">
        <f t="shared" ca="1" si="264"/>
        <v>1.2255989459847982</v>
      </c>
      <c r="W611" s="304">
        <f t="shared" ca="1" si="265"/>
        <v>58.385862903541238</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2.9234250596706852</v>
      </c>
      <c r="AH611" s="304">
        <f t="shared" ca="1" si="289"/>
        <v>-6.8287152760778698</v>
      </c>
    </row>
    <row r="612" spans="1:34" x14ac:dyDescent="0.3">
      <c r="A612" s="347">
        <f t="shared" ca="1" si="267"/>
        <v>1E-4</v>
      </c>
      <c r="B612" s="304">
        <f t="shared" ca="1" si="268"/>
        <v>33.109700000000522</v>
      </c>
      <c r="D612" s="306">
        <f t="shared" ca="1" si="269"/>
        <v>-0.74056861826652687</v>
      </c>
      <c r="E612" s="307">
        <f t="shared" ca="1" si="270"/>
        <v>-3.0215196695284847</v>
      </c>
      <c r="F612" s="304">
        <f t="shared" ca="1" si="271"/>
        <v>3.1109521037310612</v>
      </c>
      <c r="G612" s="306">
        <f t="shared" ca="1" si="272"/>
        <v>13.446140843860006</v>
      </c>
      <c r="H612" s="307">
        <f t="shared" ca="1" si="273"/>
        <v>-123.25608577739744</v>
      </c>
      <c r="I612" s="304">
        <f t="shared" ca="1" si="274"/>
        <v>123.98734364747911</v>
      </c>
      <c r="J612" s="306">
        <f t="shared" ca="1" si="275"/>
        <v>764.67878961306644</v>
      </c>
      <c r="K612" s="307">
        <f t="shared" ca="1" si="276"/>
        <v>-4.900485573947857</v>
      </c>
      <c r="L612" s="304">
        <f t="shared" ca="1" si="261"/>
        <v>764.69449196588619</v>
      </c>
      <c r="M612" s="306">
        <f t="shared" ca="1" si="277"/>
        <v>-1.4621349313929779</v>
      </c>
      <c r="N612" s="304">
        <f t="shared" ca="1" si="278"/>
        <v>-83.774160647467809</v>
      </c>
      <c r="P612" s="310">
        <f t="shared" ca="1" si="279"/>
        <v>23</v>
      </c>
      <c r="Q612" s="304">
        <f t="shared" ca="1" si="280"/>
        <v>0</v>
      </c>
      <c r="R612" s="306">
        <f t="shared" ca="1" si="281"/>
        <v>0</v>
      </c>
      <c r="S612" s="307">
        <f t="shared" ca="1" si="282"/>
        <v>8.5499999999999989</v>
      </c>
      <c r="T612" s="304">
        <f t="shared" ca="1" si="262"/>
        <v>83.875499999999988</v>
      </c>
      <c r="U612" s="311">
        <f t="shared" ca="1" si="263"/>
        <v>0</v>
      </c>
      <c r="V612" s="306">
        <f t="shared" ca="1" si="264"/>
        <v>1.2256004566092562</v>
      </c>
      <c r="W612" s="304">
        <f t="shared" ca="1" si="265"/>
        <v>58.386210194470181</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2.9233853534786842</v>
      </c>
      <c r="AH612" s="304">
        <f t="shared" ca="1" si="289"/>
        <v>-6.8287558951510228</v>
      </c>
    </row>
    <row r="613" spans="1:34" x14ac:dyDescent="0.3">
      <c r="A613" s="347">
        <f t="shared" ca="1" si="267"/>
        <v>1E-4</v>
      </c>
      <c r="B613" s="304">
        <f t="shared" ca="1" si="268"/>
        <v>33.109800000000526</v>
      </c>
      <c r="D613" s="306">
        <f t="shared" ca="1" si="269"/>
        <v>-0.74056719839089591</v>
      </c>
      <c r="E613" s="307">
        <f t="shared" ca="1" si="270"/>
        <v>-3.0214786548233565</v>
      </c>
      <c r="F613" s="304">
        <f t="shared" ca="1" si="271"/>
        <v>3.1109119301075854</v>
      </c>
      <c r="G613" s="306">
        <f t="shared" ca="1" si="272"/>
        <v>13.446066787140166</v>
      </c>
      <c r="H613" s="307">
        <f t="shared" ca="1" si="273"/>
        <v>-123.25638792526293</v>
      </c>
      <c r="I613" s="304">
        <f t="shared" ca="1" si="274"/>
        <v>123.9876359820895</v>
      </c>
      <c r="J613" s="306">
        <f t="shared" ca="1" si="275"/>
        <v>764.67878961306644</v>
      </c>
      <c r="K613" s="307">
        <f t="shared" ca="1" si="276"/>
        <v>-4.9128111976329905</v>
      </c>
      <c r="L613" s="304">
        <f t="shared" ca="1" si="261"/>
        <v>764.69457105302365</v>
      </c>
      <c r="M613" s="306">
        <f t="shared" ca="1" si="277"/>
        <v>-1.4621357894396836</v>
      </c>
      <c r="N613" s="304">
        <f t="shared" ca="1" si="278"/>
        <v>-83.774209809922667</v>
      </c>
      <c r="P613" s="310">
        <f t="shared" ca="1" si="279"/>
        <v>23</v>
      </c>
      <c r="Q613" s="304">
        <f t="shared" ca="1" si="280"/>
        <v>0</v>
      </c>
      <c r="R613" s="306">
        <f t="shared" ca="1" si="281"/>
        <v>0</v>
      </c>
      <c r="S613" s="307">
        <f t="shared" ca="1" si="282"/>
        <v>8.5499999999999989</v>
      </c>
      <c r="T613" s="304">
        <f t="shared" ca="1" si="262"/>
        <v>83.875499999999988</v>
      </c>
      <c r="U613" s="311">
        <f t="shared" ca="1" si="263"/>
        <v>0</v>
      </c>
      <c r="V613" s="306">
        <f t="shared" ca="1" si="264"/>
        <v>1.2256019672392797</v>
      </c>
      <c r="W613" s="304">
        <f t="shared" ca="1" si="265"/>
        <v>58.386557483252588</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2.9233456475212227</v>
      </c>
      <c r="AH613" s="304">
        <f t="shared" ca="1" si="289"/>
        <v>-6.8287965139731215</v>
      </c>
    </row>
    <row r="614" spans="1:34" x14ac:dyDescent="0.3">
      <c r="A614" s="347">
        <f t="shared" ca="1" si="267"/>
        <v>1E-4</v>
      </c>
      <c r="B614" s="304">
        <f t="shared" ca="1" si="268"/>
        <v>33.109900000000529</v>
      </c>
      <c r="D614" s="306">
        <f t="shared" ca="1" si="269"/>
        <v>-0.74056577847774629</v>
      </c>
      <c r="E614" s="307">
        <f t="shared" ca="1" si="270"/>
        <v>-3.0214376403717385</v>
      </c>
      <c r="F614" s="304">
        <f t="shared" ca="1" si="271"/>
        <v>3.1108717567439981</v>
      </c>
      <c r="G614" s="306">
        <f t="shared" ca="1" si="272"/>
        <v>13.445992730562319</v>
      </c>
      <c r="H614" s="307">
        <f t="shared" ca="1" si="273"/>
        <v>-123.25669006902696</v>
      </c>
      <c r="I614" s="304">
        <f t="shared" ca="1" si="274"/>
        <v>123.98792831272932</v>
      </c>
      <c r="J614" s="306">
        <f t="shared" ca="1" si="275"/>
        <v>764.67878961306644</v>
      </c>
      <c r="K614" s="307">
        <f t="shared" ca="1" si="276"/>
        <v>-4.925136851532705</v>
      </c>
      <c r="L614" s="304">
        <f t="shared" ca="1" si="261"/>
        <v>764.69465033901645</v>
      </c>
      <c r="M614" s="306">
        <f t="shared" ca="1" si="277"/>
        <v>-1.4621366474776172</v>
      </c>
      <c r="N614" s="304">
        <f t="shared" ca="1" si="278"/>
        <v>-83.774258971874929</v>
      </c>
      <c r="P614" s="310">
        <f t="shared" ca="1" si="279"/>
        <v>23</v>
      </c>
      <c r="Q614" s="304">
        <f t="shared" ca="1" si="280"/>
        <v>0</v>
      </c>
      <c r="R614" s="306">
        <f t="shared" ca="1" si="281"/>
        <v>0</v>
      </c>
      <c r="S614" s="307">
        <f t="shared" ca="1" si="282"/>
        <v>8.5499999999999989</v>
      </c>
      <c r="T614" s="304">
        <f t="shared" ca="1" si="262"/>
        <v>83.875499999999988</v>
      </c>
      <c r="U614" s="311">
        <f t="shared" ca="1" si="263"/>
        <v>0</v>
      </c>
      <c r="V614" s="306">
        <f t="shared" ca="1" si="264"/>
        <v>1.2256034778748688</v>
      </c>
      <c r="W614" s="304">
        <f t="shared" ca="1" si="265"/>
        <v>58.386904769888453</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2.9233059417983069</v>
      </c>
      <c r="AH614" s="304">
        <f t="shared" ca="1" si="289"/>
        <v>-6.8288371325441632</v>
      </c>
    </row>
    <row r="615" spans="1:34" x14ac:dyDescent="0.3">
      <c r="A615" s="347">
        <f t="shared" ca="1" si="267"/>
        <v>1E-4</v>
      </c>
      <c r="B615" s="304">
        <f t="shared" ca="1" si="268"/>
        <v>33.110000000000532</v>
      </c>
      <c r="D615" s="306">
        <f t="shared" ca="1" si="269"/>
        <v>-0.74056435852708136</v>
      </c>
      <c r="E615" s="307">
        <f t="shared" ca="1" si="270"/>
        <v>-3.0213966261736331</v>
      </c>
      <c r="F615" s="304">
        <f t="shared" ca="1" si="271"/>
        <v>3.1108315836403038</v>
      </c>
      <c r="G615" s="306">
        <f t="shared" ca="1" si="272"/>
        <v>13.445918674126466</v>
      </c>
      <c r="H615" s="307">
        <f t="shared" ca="1" si="273"/>
        <v>-123.25699220868958</v>
      </c>
      <c r="I615" s="304">
        <f t="shared" ca="1" si="274"/>
        <v>123.98822063939859</v>
      </c>
      <c r="J615" s="306">
        <f t="shared" ca="1" si="275"/>
        <v>764.67878961306644</v>
      </c>
      <c r="K615" s="307">
        <f t="shared" ca="1" si="276"/>
        <v>-4.9374625356465911</v>
      </c>
      <c r="L615" s="304">
        <f t="shared" ca="1" si="261"/>
        <v>764.69472982386594</v>
      </c>
      <c r="M615" s="306">
        <f t="shared" ca="1" si="277"/>
        <v>-1.4621375055067791</v>
      </c>
      <c r="N615" s="304">
        <f t="shared" ca="1" si="278"/>
        <v>-83.77430813332461</v>
      </c>
      <c r="P615" s="310">
        <f t="shared" ca="1" si="279"/>
        <v>23</v>
      </c>
      <c r="Q615" s="304">
        <f t="shared" ca="1" si="280"/>
        <v>0</v>
      </c>
      <c r="R615" s="306">
        <f t="shared" ca="1" si="281"/>
        <v>0</v>
      </c>
      <c r="S615" s="307">
        <f t="shared" ca="1" si="282"/>
        <v>8.5499999999999989</v>
      </c>
      <c r="T615" s="304">
        <f t="shared" ca="1" si="262"/>
        <v>83.875499999999988</v>
      </c>
      <c r="U615" s="311">
        <f t="shared" ca="1" si="263"/>
        <v>0</v>
      </c>
      <c r="V615" s="306">
        <f t="shared" ca="1" si="264"/>
        <v>1.2256049885160234</v>
      </c>
      <c r="W615" s="304">
        <f t="shared" ca="1" si="265"/>
        <v>58.38725205437774</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2.9232662363099342</v>
      </c>
      <c r="AH615" s="304">
        <f t="shared" ca="1" si="289"/>
        <v>-6.8288777508641472</v>
      </c>
    </row>
    <row r="616" spans="1:34" x14ac:dyDescent="0.3">
      <c r="A616" s="347">
        <f t="shared" ca="1" si="267"/>
        <v>1E-4</v>
      </c>
      <c r="B616" s="304">
        <f t="shared" ca="1" si="268"/>
        <v>33.110100000000536</v>
      </c>
      <c r="D616" s="306">
        <f t="shared" ca="1" si="269"/>
        <v>-0.74056293853889943</v>
      </c>
      <c r="E616" s="307">
        <f t="shared" ca="1" si="270"/>
        <v>-3.0213556122290424</v>
      </c>
      <c r="F616" s="304">
        <f t="shared" ca="1" si="271"/>
        <v>3.1107914107965038</v>
      </c>
      <c r="G616" s="306">
        <f t="shared" ca="1" si="272"/>
        <v>13.445844617832611</v>
      </c>
      <c r="H616" s="307">
        <f t="shared" ca="1" si="273"/>
        <v>-123.25729434425081</v>
      </c>
      <c r="I616" s="304">
        <f t="shared" ca="1" si="274"/>
        <v>123.98851296209735</v>
      </c>
      <c r="J616" s="306">
        <f t="shared" ca="1" si="275"/>
        <v>764.67878961306644</v>
      </c>
      <c r="K616" s="307">
        <f t="shared" ca="1" si="276"/>
        <v>-4.9497882499742385</v>
      </c>
      <c r="L616" s="304">
        <f t="shared" ca="1" si="261"/>
        <v>764.69480950757338</v>
      </c>
      <c r="M616" s="306">
        <f t="shared" ca="1" si="277"/>
        <v>-1.4621383635271694</v>
      </c>
      <c r="N616" s="304">
        <f t="shared" ca="1" si="278"/>
        <v>-83.774357294271709</v>
      </c>
      <c r="P616" s="310">
        <f t="shared" ca="1" si="279"/>
        <v>23</v>
      </c>
      <c r="Q616" s="304">
        <f t="shared" ca="1" si="280"/>
        <v>0</v>
      </c>
      <c r="R616" s="306">
        <f t="shared" ca="1" si="281"/>
        <v>0</v>
      </c>
      <c r="S616" s="307">
        <f t="shared" ca="1" si="282"/>
        <v>8.5499999999999989</v>
      </c>
      <c r="T616" s="304">
        <f t="shared" ca="1" si="262"/>
        <v>83.875499999999988</v>
      </c>
      <c r="U616" s="311">
        <f t="shared" ca="1" si="263"/>
        <v>0</v>
      </c>
      <c r="V616" s="306">
        <f t="shared" ca="1" si="264"/>
        <v>1.2256064991627436</v>
      </c>
      <c r="W616" s="304">
        <f t="shared" ca="1" si="265"/>
        <v>58.387599336720477</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2.9232265310561152</v>
      </c>
      <c r="AH616" s="304">
        <f t="shared" ca="1" si="289"/>
        <v>-6.8289183689330697</v>
      </c>
    </row>
    <row r="617" spans="1:34" x14ac:dyDescent="0.3">
      <c r="A617" s="347">
        <f t="shared" ca="1" si="267"/>
        <v>1E-4</v>
      </c>
      <c r="B617" s="304">
        <f t="shared" ca="1" si="268"/>
        <v>33.110200000000539</v>
      </c>
      <c r="D617" s="306">
        <f t="shared" ca="1" si="269"/>
        <v>-0.74056151851320262</v>
      </c>
      <c r="E617" s="307">
        <f t="shared" ca="1" si="270"/>
        <v>-3.0213145985379652</v>
      </c>
      <c r="F617" s="304">
        <f t="shared" ca="1" si="271"/>
        <v>3.1107512382125972</v>
      </c>
      <c r="G617" s="306">
        <f t="shared" ca="1" si="272"/>
        <v>13.44577056168076</v>
      </c>
      <c r="H617" s="307">
        <f t="shared" ca="1" si="273"/>
        <v>-123.25759647571066</v>
      </c>
      <c r="I617" s="304">
        <f t="shared" ca="1" si="274"/>
        <v>123.98880528082557</v>
      </c>
      <c r="J617" s="306">
        <f t="shared" ca="1" si="275"/>
        <v>764.67878961306644</v>
      </c>
      <c r="K617" s="307">
        <f t="shared" ca="1" si="276"/>
        <v>-4.9621139945152368</v>
      </c>
      <c r="L617" s="304">
        <f t="shared" ca="1" si="261"/>
        <v>764.69488939014025</v>
      </c>
      <c r="M617" s="306">
        <f t="shared" ca="1" si="277"/>
        <v>-1.4621392215387883</v>
      </c>
      <c r="N617" s="304">
        <f t="shared" ca="1" si="278"/>
        <v>-83.774406454716242</v>
      </c>
      <c r="P617" s="310">
        <f t="shared" ca="1" si="279"/>
        <v>23</v>
      </c>
      <c r="Q617" s="304">
        <f t="shared" ca="1" si="280"/>
        <v>0</v>
      </c>
      <c r="R617" s="306">
        <f t="shared" ca="1" si="281"/>
        <v>0</v>
      </c>
      <c r="S617" s="307">
        <f t="shared" ca="1" si="282"/>
        <v>8.5499999999999989</v>
      </c>
      <c r="T617" s="304">
        <f t="shared" ca="1" si="262"/>
        <v>83.875499999999988</v>
      </c>
      <c r="U617" s="311">
        <f t="shared" ca="1" si="263"/>
        <v>0</v>
      </c>
      <c r="V617" s="306">
        <f t="shared" ca="1" si="264"/>
        <v>1.2256080098150288</v>
      </c>
      <c r="W617" s="304">
        <f t="shared" ca="1" si="265"/>
        <v>58.38794661691658</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2.9231868260368437</v>
      </c>
      <c r="AH617" s="304">
        <f t="shared" ca="1" si="289"/>
        <v>-6.8289589867509335</v>
      </c>
    </row>
    <row r="618" spans="1:34" x14ac:dyDescent="0.3">
      <c r="A618" s="347">
        <f t="shared" ca="1" si="267"/>
        <v>1E-4</v>
      </c>
      <c r="B618" s="304">
        <f t="shared" ca="1" si="268"/>
        <v>33.110300000000542</v>
      </c>
      <c r="D618" s="306">
        <f t="shared" ca="1" si="269"/>
        <v>-0.74056009844998982</v>
      </c>
      <c r="E618" s="307">
        <f t="shared" ca="1" si="270"/>
        <v>-3.0212735851004098</v>
      </c>
      <c r="F618" s="304">
        <f t="shared" ca="1" si="271"/>
        <v>3.1107110658885921</v>
      </c>
      <c r="G618" s="306">
        <f t="shared" ca="1" si="272"/>
        <v>13.445696505670915</v>
      </c>
      <c r="H618" s="307">
        <f t="shared" ca="1" si="273"/>
        <v>-123.25789860306917</v>
      </c>
      <c r="I618" s="304">
        <f t="shared" ca="1" si="274"/>
        <v>123.98909759558335</v>
      </c>
      <c r="J618" s="306">
        <f t="shared" ca="1" si="275"/>
        <v>764.67878961306644</v>
      </c>
      <c r="K618" s="307">
        <f t="shared" ca="1" si="276"/>
        <v>-4.9744397692691757</v>
      </c>
      <c r="L618" s="304">
        <f t="shared" ca="1" si="261"/>
        <v>764.69496947156802</v>
      </c>
      <c r="M618" s="306">
        <f t="shared" ca="1" si="277"/>
        <v>-1.4621400795416355</v>
      </c>
      <c r="N618" s="304">
        <f t="shared" ca="1" si="278"/>
        <v>-83.774455614658194</v>
      </c>
      <c r="P618" s="310">
        <f t="shared" ca="1" si="279"/>
        <v>23</v>
      </c>
      <c r="Q618" s="304">
        <f t="shared" ca="1" si="280"/>
        <v>0</v>
      </c>
      <c r="R618" s="306">
        <f t="shared" ca="1" si="281"/>
        <v>0</v>
      </c>
      <c r="S618" s="307">
        <f t="shared" ca="1" si="282"/>
        <v>8.5499999999999989</v>
      </c>
      <c r="T618" s="304">
        <f t="shared" ca="1" si="262"/>
        <v>83.875499999999988</v>
      </c>
      <c r="U618" s="311">
        <f t="shared" ca="1" si="263"/>
        <v>0</v>
      </c>
      <c r="V618" s="306">
        <f t="shared" ca="1" si="264"/>
        <v>1.2256095204728799</v>
      </c>
      <c r="W618" s="304">
        <f t="shared" ca="1" si="265"/>
        <v>58.388293894966111</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2.9231471212521249</v>
      </c>
      <c r="AH618" s="304">
        <f t="shared" ca="1" si="289"/>
        <v>-6.8289996043177297</v>
      </c>
    </row>
    <row r="619" spans="1:34" x14ac:dyDescent="0.3">
      <c r="A619" s="347">
        <f t="shared" ca="1" si="267"/>
        <v>1E-4</v>
      </c>
      <c r="B619" s="304">
        <f t="shared" ca="1" si="268"/>
        <v>33.110400000000546</v>
      </c>
      <c r="D619" s="306">
        <f t="shared" ca="1" si="269"/>
        <v>-0.74055867834926536</v>
      </c>
      <c r="E619" s="307">
        <f t="shared" ca="1" si="270"/>
        <v>-3.0212325719163706</v>
      </c>
      <c r="F619" s="304">
        <f t="shared" ca="1" si="271"/>
        <v>3.1106708938244845</v>
      </c>
      <c r="G619" s="306">
        <f t="shared" ca="1" si="272"/>
        <v>13.44562244980308</v>
      </c>
      <c r="H619" s="307">
        <f t="shared" ca="1" si="273"/>
        <v>-123.25820072632635</v>
      </c>
      <c r="I619" s="304">
        <f t="shared" ca="1" si="274"/>
        <v>123.98938990637065</v>
      </c>
      <c r="J619" s="306">
        <f t="shared" ca="1" si="275"/>
        <v>764.67878961306644</v>
      </c>
      <c r="K619" s="307">
        <f t="shared" ca="1" si="276"/>
        <v>-4.9867655742356458</v>
      </c>
      <c r="L619" s="304">
        <f t="shared" ca="1" si="261"/>
        <v>764.69504975185805</v>
      </c>
      <c r="M619" s="306">
        <f t="shared" ca="1" si="277"/>
        <v>-1.4621409375357117</v>
      </c>
      <c r="N619" s="304">
        <f t="shared" ca="1" si="278"/>
        <v>-83.774504774097608</v>
      </c>
      <c r="P619" s="310">
        <f t="shared" ca="1" si="279"/>
        <v>23</v>
      </c>
      <c r="Q619" s="304">
        <f t="shared" ca="1" si="280"/>
        <v>0</v>
      </c>
      <c r="R619" s="306">
        <f t="shared" ca="1" si="281"/>
        <v>0</v>
      </c>
      <c r="S619" s="307">
        <f t="shared" ca="1" si="282"/>
        <v>8.5499999999999989</v>
      </c>
      <c r="T619" s="304">
        <f t="shared" ca="1" si="262"/>
        <v>83.875499999999988</v>
      </c>
      <c r="U619" s="311">
        <f t="shared" ca="1" si="263"/>
        <v>0</v>
      </c>
      <c r="V619" s="306">
        <f t="shared" ca="1" si="264"/>
        <v>1.2256110311362955</v>
      </c>
      <c r="W619" s="304">
        <f t="shared" ca="1" si="265"/>
        <v>58.388641170868979</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2.9231074167019599</v>
      </c>
      <c r="AH619" s="304">
        <f t="shared" ca="1" si="289"/>
        <v>-6.8290402216334645</v>
      </c>
    </row>
    <row r="620" spans="1:34" x14ac:dyDescent="0.3">
      <c r="A620" s="347">
        <f t="shared" ca="1" si="267"/>
        <v>1E-4</v>
      </c>
      <c r="B620" s="304">
        <f t="shared" ca="1" si="268"/>
        <v>33.110500000000549</v>
      </c>
      <c r="D620" s="306">
        <f t="shared" ca="1" si="269"/>
        <v>-0.7405572582110248</v>
      </c>
      <c r="E620" s="307">
        <f t="shared" ca="1" si="270"/>
        <v>-3.0211915589858567</v>
      </c>
      <c r="F620" s="304">
        <f t="shared" ca="1" si="271"/>
        <v>3.1106307220202818</v>
      </c>
      <c r="G620" s="306">
        <f t="shared" ca="1" si="272"/>
        <v>13.445548394077258</v>
      </c>
      <c r="H620" s="307">
        <f t="shared" ca="1" si="273"/>
        <v>-123.25850284548225</v>
      </c>
      <c r="I620" s="304">
        <f t="shared" ca="1" si="274"/>
        <v>123.98968221318752</v>
      </c>
      <c r="J620" s="306">
        <f t="shared" ca="1" si="275"/>
        <v>764.67878961306644</v>
      </c>
      <c r="K620" s="307">
        <f t="shared" ca="1" si="276"/>
        <v>-4.9990914094142367</v>
      </c>
      <c r="L620" s="304">
        <f t="shared" ca="1" si="261"/>
        <v>764.69513023101172</v>
      </c>
      <c r="M620" s="306">
        <f t="shared" ca="1" si="277"/>
        <v>-1.4621417955210168</v>
      </c>
      <c r="N620" s="304">
        <f t="shared" ca="1" si="278"/>
        <v>-83.774553933034468</v>
      </c>
      <c r="P620" s="310">
        <f t="shared" ca="1" si="279"/>
        <v>23</v>
      </c>
      <c r="Q620" s="304">
        <f t="shared" ca="1" si="280"/>
        <v>0</v>
      </c>
      <c r="R620" s="306">
        <f t="shared" ca="1" si="281"/>
        <v>0</v>
      </c>
      <c r="S620" s="307">
        <f t="shared" ca="1" si="282"/>
        <v>8.5499999999999989</v>
      </c>
      <c r="T620" s="304">
        <f t="shared" ca="1" si="262"/>
        <v>83.875499999999988</v>
      </c>
      <c r="U620" s="311">
        <f t="shared" ca="1" si="263"/>
        <v>0</v>
      </c>
      <c r="V620" s="306">
        <f t="shared" ca="1" si="264"/>
        <v>1.2256125418052775</v>
      </c>
      <c r="W620" s="304">
        <f t="shared" ca="1" si="265"/>
        <v>58.388988444625262</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2.9230677123863558</v>
      </c>
      <c r="AH620" s="304">
        <f t="shared" ca="1" si="289"/>
        <v>-6.8290808386981272</v>
      </c>
    </row>
    <row r="621" spans="1:34" x14ac:dyDescent="0.3">
      <c r="A621" s="347">
        <f t="shared" ca="1" si="267"/>
        <v>1E-4</v>
      </c>
      <c r="B621" s="304">
        <f t="shared" ca="1" si="268"/>
        <v>33.110600000000552</v>
      </c>
      <c r="D621" s="306">
        <f t="shared" ca="1" si="269"/>
        <v>-0.74055583803527292</v>
      </c>
      <c r="E621" s="307">
        <f t="shared" ca="1" si="270"/>
        <v>-3.0211505463088608</v>
      </c>
      <c r="F621" s="304">
        <f t="shared" ca="1" si="271"/>
        <v>3.1105905504759792</v>
      </c>
      <c r="G621" s="306">
        <f t="shared" ca="1" si="272"/>
        <v>13.445474338493455</v>
      </c>
      <c r="H621" s="307">
        <f t="shared" ca="1" si="273"/>
        <v>-123.25880496053689</v>
      </c>
      <c r="I621" s="304">
        <f t="shared" ca="1" si="274"/>
        <v>123.989974516034</v>
      </c>
      <c r="J621" s="306">
        <f t="shared" ca="1" si="275"/>
        <v>764.67878961306644</v>
      </c>
      <c r="K621" s="307">
        <f t="shared" ca="1" si="276"/>
        <v>-5.011417274804538</v>
      </c>
      <c r="L621" s="304">
        <f t="shared" ca="1" si="261"/>
        <v>764.69521090903049</v>
      </c>
      <c r="M621" s="306">
        <f t="shared" ca="1" si="277"/>
        <v>-1.4621426534975508</v>
      </c>
      <c r="N621" s="304">
        <f t="shared" ca="1" si="278"/>
        <v>-83.774603091468791</v>
      </c>
      <c r="P621" s="310">
        <f t="shared" ca="1" si="279"/>
        <v>23</v>
      </c>
      <c r="Q621" s="304">
        <f t="shared" ca="1" si="280"/>
        <v>0</v>
      </c>
      <c r="R621" s="306">
        <f t="shared" ca="1" si="281"/>
        <v>0</v>
      </c>
      <c r="S621" s="307">
        <f t="shared" ca="1" si="282"/>
        <v>8.5499999999999989</v>
      </c>
      <c r="T621" s="304">
        <f t="shared" ca="1" si="262"/>
        <v>83.875499999999988</v>
      </c>
      <c r="U621" s="311">
        <f t="shared" ca="1" si="263"/>
        <v>0</v>
      </c>
      <c r="V621" s="306">
        <f t="shared" ca="1" si="264"/>
        <v>1.2256140524798238</v>
      </c>
      <c r="W621" s="304">
        <f t="shared" ca="1" si="265"/>
        <v>58.389335716234875</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2.9230280083053044</v>
      </c>
      <c r="AH621" s="304">
        <f t="shared" ca="1" si="289"/>
        <v>-6.8291214555117277</v>
      </c>
    </row>
    <row r="622" spans="1:34" x14ac:dyDescent="0.3">
      <c r="A622" s="347">
        <f t="shared" ca="1" si="267"/>
        <v>1E-4</v>
      </c>
      <c r="B622" s="304">
        <f t="shared" ca="1" si="268"/>
        <v>33.110700000000556</v>
      </c>
      <c r="D622" s="306">
        <f t="shared" ca="1" si="269"/>
        <v>-0.74055441782200848</v>
      </c>
      <c r="E622" s="307">
        <f t="shared" ca="1" si="270"/>
        <v>-3.0211095338853911</v>
      </c>
      <c r="F622" s="304">
        <f t="shared" ca="1" si="271"/>
        <v>3.1105503791915825</v>
      </c>
      <c r="G622" s="306">
        <f t="shared" ca="1" si="272"/>
        <v>13.445400283051672</v>
      </c>
      <c r="H622" s="307">
        <f t="shared" ca="1" si="273"/>
        <v>-123.25910707149028</v>
      </c>
      <c r="I622" s="304">
        <f t="shared" ca="1" si="274"/>
        <v>123.99026681491007</v>
      </c>
      <c r="J622" s="306">
        <f t="shared" ca="1" si="275"/>
        <v>764.67878961306644</v>
      </c>
      <c r="K622" s="307">
        <f t="shared" ca="1" si="276"/>
        <v>-5.0237431704061395</v>
      </c>
      <c r="L622" s="304">
        <f t="shared" ca="1" si="261"/>
        <v>764.69529178591563</v>
      </c>
      <c r="M622" s="306">
        <f t="shared" ca="1" si="277"/>
        <v>-1.4621435114653141</v>
      </c>
      <c r="N622" s="304">
        <f t="shared" ca="1" si="278"/>
        <v>-83.774652249400589</v>
      </c>
      <c r="P622" s="310">
        <f t="shared" ca="1" si="279"/>
        <v>23</v>
      </c>
      <c r="Q622" s="304">
        <f t="shared" ca="1" si="280"/>
        <v>0</v>
      </c>
      <c r="R622" s="306">
        <f t="shared" ca="1" si="281"/>
        <v>0</v>
      </c>
      <c r="S622" s="307">
        <f t="shared" ca="1" si="282"/>
        <v>8.5499999999999989</v>
      </c>
      <c r="T622" s="304">
        <f t="shared" ca="1" si="262"/>
        <v>83.875499999999988</v>
      </c>
      <c r="U622" s="311">
        <f t="shared" ca="1" si="263"/>
        <v>0</v>
      </c>
      <c r="V622" s="306">
        <f t="shared" ca="1" si="264"/>
        <v>1.2256155631599357</v>
      </c>
      <c r="W622" s="304">
        <f t="shared" ca="1" si="265"/>
        <v>58.389682985697824</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2.9229883044588165</v>
      </c>
      <c r="AH622" s="304">
        <f t="shared" ca="1" si="289"/>
        <v>-6.8291620720742552</v>
      </c>
    </row>
    <row r="623" spans="1:34" x14ac:dyDescent="0.3">
      <c r="A623" s="347">
        <f t="shared" ca="1" si="267"/>
        <v>1E-4</v>
      </c>
      <c r="B623" s="304">
        <f t="shared" ca="1" si="268"/>
        <v>33.110800000000559</v>
      </c>
      <c r="D623" s="306">
        <f t="shared" ca="1" si="269"/>
        <v>-0.74055299757123183</v>
      </c>
      <c r="E623" s="307">
        <f t="shared" ca="1" si="270"/>
        <v>-3.0210685217154465</v>
      </c>
      <c r="F623" s="304">
        <f t="shared" ca="1" si="271"/>
        <v>3.110510208167093</v>
      </c>
      <c r="G623" s="306">
        <f t="shared" ca="1" si="272"/>
        <v>13.445326227751915</v>
      </c>
      <c r="H623" s="307">
        <f t="shared" ca="1" si="273"/>
        <v>-123.25940917834245</v>
      </c>
      <c r="I623" s="304">
        <f t="shared" ca="1" si="274"/>
        <v>123.99055910981579</v>
      </c>
      <c r="J623" s="306">
        <f t="shared" ca="1" si="275"/>
        <v>764.67878961306644</v>
      </c>
      <c r="K623" s="307">
        <f t="shared" ca="1" si="276"/>
        <v>-5.0360690962186307</v>
      </c>
      <c r="L623" s="304">
        <f t="shared" ca="1" si="261"/>
        <v>764.69537286166849</v>
      </c>
      <c r="M623" s="306">
        <f t="shared" ca="1" si="277"/>
        <v>-1.4621443694243066</v>
      </c>
      <c r="N623" s="304">
        <f t="shared" ca="1" si="278"/>
        <v>-83.774701406829863</v>
      </c>
      <c r="P623" s="310">
        <f t="shared" ca="1" si="279"/>
        <v>23</v>
      </c>
      <c r="Q623" s="304">
        <f t="shared" ca="1" si="280"/>
        <v>0</v>
      </c>
      <c r="R623" s="306">
        <f t="shared" ca="1" si="281"/>
        <v>0</v>
      </c>
      <c r="S623" s="307">
        <f t="shared" ca="1" si="282"/>
        <v>8.5499999999999989</v>
      </c>
      <c r="T623" s="304">
        <f t="shared" ca="1" si="262"/>
        <v>83.875499999999988</v>
      </c>
      <c r="U623" s="311">
        <f t="shared" ca="1" si="263"/>
        <v>0</v>
      </c>
      <c r="V623" s="306">
        <f t="shared" ca="1" si="264"/>
        <v>1.2256170738456131</v>
      </c>
      <c r="W623" s="304">
        <f t="shared" ca="1" si="265"/>
        <v>58.390030253014125</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2.9229486008468903</v>
      </c>
      <c r="AH623" s="304">
        <f t="shared" ca="1" si="289"/>
        <v>-6.8292026883857115</v>
      </c>
    </row>
    <row r="624" spans="1:34" x14ac:dyDescent="0.3">
      <c r="A624" s="347">
        <f t="shared" ca="1" si="267"/>
        <v>1E-4</v>
      </c>
      <c r="B624" s="304">
        <f t="shared" ca="1" si="268"/>
        <v>33.110900000000562</v>
      </c>
      <c r="D624" s="306">
        <f t="shared" ca="1" si="269"/>
        <v>-0.74055157728294496</v>
      </c>
      <c r="E624" s="307">
        <f t="shared" ca="1" si="270"/>
        <v>-3.021027509799028</v>
      </c>
      <c r="F624" s="304">
        <f t="shared" ca="1" si="271"/>
        <v>3.1104700374025107</v>
      </c>
      <c r="G624" s="306">
        <f t="shared" ca="1" si="272"/>
        <v>13.445252172594186</v>
      </c>
      <c r="H624" s="307">
        <f t="shared" ca="1" si="273"/>
        <v>-123.25971128109343</v>
      </c>
      <c r="I624" s="304">
        <f t="shared" ca="1" si="274"/>
        <v>123.99085140075118</v>
      </c>
      <c r="J624" s="306">
        <f t="shared" ca="1" si="275"/>
        <v>764.67878961306644</v>
      </c>
      <c r="K624" s="307">
        <f t="shared" ca="1" si="276"/>
        <v>-5.0483950522416023</v>
      </c>
      <c r="L624" s="304">
        <f t="shared" ca="1" si="261"/>
        <v>764.69545413629066</v>
      </c>
      <c r="M624" s="306">
        <f t="shared" ca="1" si="277"/>
        <v>-1.4621452273745286</v>
      </c>
      <c r="N624" s="304">
        <f t="shared" ca="1" si="278"/>
        <v>-83.774750563756612</v>
      </c>
      <c r="P624" s="310">
        <f t="shared" ca="1" si="279"/>
        <v>23</v>
      </c>
      <c r="Q624" s="304">
        <f t="shared" ca="1" si="280"/>
        <v>0</v>
      </c>
      <c r="R624" s="306">
        <f t="shared" ca="1" si="281"/>
        <v>0</v>
      </c>
      <c r="S624" s="307">
        <f t="shared" ca="1" si="282"/>
        <v>8.5499999999999989</v>
      </c>
      <c r="T624" s="304">
        <f t="shared" ca="1" si="262"/>
        <v>83.875499999999988</v>
      </c>
      <c r="U624" s="311">
        <f t="shared" ca="1" si="263"/>
        <v>0</v>
      </c>
      <c r="V624" s="306">
        <f t="shared" ca="1" si="264"/>
        <v>1.2256185845368557</v>
      </c>
      <c r="W624" s="304">
        <f t="shared" ca="1" si="265"/>
        <v>58.39037751818374</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2.922908897469525</v>
      </c>
      <c r="AH624" s="304">
        <f t="shared" ca="1" si="289"/>
        <v>-6.8292433044460976</v>
      </c>
    </row>
    <row r="625" spans="1:34" x14ac:dyDescent="0.3">
      <c r="A625" s="347">
        <f t="shared" ca="1" si="267"/>
        <v>1E-4</v>
      </c>
      <c r="B625" s="304">
        <f t="shared" ca="1" si="268"/>
        <v>33.111000000000566</v>
      </c>
      <c r="D625" s="306">
        <f t="shared" ca="1" si="269"/>
        <v>-0.74055015695714754</v>
      </c>
      <c r="E625" s="307">
        <f t="shared" ca="1" si="270"/>
        <v>-3.0209864981361374</v>
      </c>
      <c r="F625" s="304">
        <f t="shared" ca="1" si="271"/>
        <v>3.1104298668978374</v>
      </c>
      <c r="G625" s="306">
        <f t="shared" ca="1" si="272"/>
        <v>13.445178117578489</v>
      </c>
      <c r="H625" s="307">
        <f t="shared" ca="1" si="273"/>
        <v>-123.26001337974324</v>
      </c>
      <c r="I625" s="304">
        <f t="shared" ca="1" si="274"/>
        <v>123.99114368771625</v>
      </c>
      <c r="J625" s="306">
        <f t="shared" ca="1" si="275"/>
        <v>764.67878961306644</v>
      </c>
      <c r="K625" s="307">
        <f t="shared" ca="1" si="276"/>
        <v>-5.0607210384746439</v>
      </c>
      <c r="L625" s="304">
        <f t="shared" ca="1" si="261"/>
        <v>764.69553560978352</v>
      </c>
      <c r="M625" s="306">
        <f t="shared" ca="1" si="277"/>
        <v>-1.4621460853159802</v>
      </c>
      <c r="N625" s="304">
        <f t="shared" ca="1" si="278"/>
        <v>-83.774799720180852</v>
      </c>
      <c r="P625" s="310">
        <f t="shared" ca="1" si="279"/>
        <v>23</v>
      </c>
      <c r="Q625" s="304">
        <f t="shared" ca="1" si="280"/>
        <v>0</v>
      </c>
      <c r="R625" s="306">
        <f t="shared" ca="1" si="281"/>
        <v>0</v>
      </c>
      <c r="S625" s="307">
        <f t="shared" ca="1" si="282"/>
        <v>8.5499999999999989</v>
      </c>
      <c r="T625" s="304">
        <f t="shared" ca="1" si="262"/>
        <v>83.875499999999988</v>
      </c>
      <c r="U625" s="311">
        <f t="shared" ca="1" si="263"/>
        <v>0</v>
      </c>
      <c r="V625" s="306">
        <f t="shared" ca="1" si="264"/>
        <v>1.2256200952336629</v>
      </c>
      <c r="W625" s="304">
        <f t="shared" ca="1" si="265"/>
        <v>58.390724781206615</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2.9228691943267284</v>
      </c>
      <c r="AH625" s="304">
        <f t="shared" ca="1" si="289"/>
        <v>-6.829283920255409</v>
      </c>
    </row>
    <row r="626" spans="1:34" x14ac:dyDescent="0.3">
      <c r="A626" s="347">
        <f t="shared" ca="1" si="267"/>
        <v>1E-4</v>
      </c>
      <c r="B626" s="304">
        <f t="shared" ca="1" si="268"/>
        <v>33.111100000000569</v>
      </c>
      <c r="D626" s="306">
        <f t="shared" ca="1" si="269"/>
        <v>-0.74054873659383924</v>
      </c>
      <c r="E626" s="307">
        <f t="shared" ca="1" si="270"/>
        <v>-3.0209454867267818</v>
      </c>
      <c r="F626" s="304">
        <f t="shared" ca="1" si="271"/>
        <v>3.1103896966530806</v>
      </c>
      <c r="G626" s="306">
        <f t="shared" ca="1" si="272"/>
        <v>13.44510406270483</v>
      </c>
      <c r="H626" s="307">
        <f t="shared" ca="1" si="273"/>
        <v>-123.26031547429191</v>
      </c>
      <c r="I626" s="304">
        <f t="shared" ca="1" si="274"/>
        <v>123.99143597071101</v>
      </c>
      <c r="J626" s="306">
        <f t="shared" ca="1" si="275"/>
        <v>764.67878961306644</v>
      </c>
      <c r="K626" s="307">
        <f t="shared" ca="1" si="276"/>
        <v>-5.0730470549173461</v>
      </c>
      <c r="L626" s="304">
        <f t="shared" ca="1" si="261"/>
        <v>764.69561728214819</v>
      </c>
      <c r="M626" s="306">
        <f t="shared" ca="1" si="277"/>
        <v>-1.4621469432486616</v>
      </c>
      <c r="N626" s="304">
        <f t="shared" ca="1" si="278"/>
        <v>-83.77484887610261</v>
      </c>
      <c r="P626" s="310">
        <f t="shared" ca="1" si="279"/>
        <v>23</v>
      </c>
      <c r="Q626" s="304">
        <f t="shared" ca="1" si="280"/>
        <v>0</v>
      </c>
      <c r="R626" s="306">
        <f t="shared" ca="1" si="281"/>
        <v>0</v>
      </c>
      <c r="S626" s="307">
        <f t="shared" ca="1" si="282"/>
        <v>8.5499999999999989</v>
      </c>
      <c r="T626" s="304">
        <f t="shared" ca="1" si="262"/>
        <v>83.875499999999988</v>
      </c>
      <c r="U626" s="311">
        <f t="shared" ca="1" si="263"/>
        <v>0</v>
      </c>
      <c r="V626" s="306">
        <f t="shared" ca="1" si="264"/>
        <v>1.2256216059360354</v>
      </c>
      <c r="W626" s="304">
        <f t="shared" ca="1" si="265"/>
        <v>58.39107204208279</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2.9228294914185025</v>
      </c>
      <c r="AH626" s="304">
        <f t="shared" ca="1" si="289"/>
        <v>-6.8293245358136403</v>
      </c>
    </row>
    <row r="627" spans="1:34" x14ac:dyDescent="0.3">
      <c r="A627" s="347">
        <f t="shared" ca="1" si="267"/>
        <v>1E-4</v>
      </c>
      <c r="B627" s="304">
        <f t="shared" ca="1" si="268"/>
        <v>33.111200000000572</v>
      </c>
      <c r="D627" s="306">
        <f t="shared" ca="1" si="269"/>
        <v>-0.74054731619302205</v>
      </c>
      <c r="E627" s="307">
        <f t="shared" ca="1" si="270"/>
        <v>-3.0209044755709566</v>
      </c>
      <c r="F627" s="304">
        <f t="shared" ca="1" si="271"/>
        <v>3.1103495266682368</v>
      </c>
      <c r="G627" s="306">
        <f t="shared" ca="1" si="272"/>
        <v>13.445030007973211</v>
      </c>
      <c r="H627" s="307">
        <f t="shared" ca="1" si="273"/>
        <v>-123.26061756473948</v>
      </c>
      <c r="I627" s="304">
        <f t="shared" ca="1" si="274"/>
        <v>123.99172824973553</v>
      </c>
      <c r="J627" s="306">
        <f t="shared" ca="1" si="275"/>
        <v>764.67878961306644</v>
      </c>
      <c r="K627" s="307">
        <f t="shared" ca="1" si="276"/>
        <v>-5.0853731015692976</v>
      </c>
      <c r="L627" s="304">
        <f t="shared" ca="1" si="261"/>
        <v>764.69569915338639</v>
      </c>
      <c r="M627" s="306">
        <f t="shared" ca="1" si="277"/>
        <v>-1.4621478011725728</v>
      </c>
      <c r="N627" s="304">
        <f t="shared" ca="1" si="278"/>
        <v>-83.774898031521857</v>
      </c>
      <c r="P627" s="310">
        <f t="shared" ca="1" si="279"/>
        <v>23</v>
      </c>
      <c r="Q627" s="304">
        <f t="shared" ca="1" si="280"/>
        <v>0</v>
      </c>
      <c r="R627" s="306">
        <f t="shared" ca="1" si="281"/>
        <v>0</v>
      </c>
      <c r="S627" s="307">
        <f t="shared" ca="1" si="282"/>
        <v>8.5499999999999989</v>
      </c>
      <c r="T627" s="304">
        <f t="shared" ca="1" si="262"/>
        <v>83.875499999999988</v>
      </c>
      <c r="U627" s="311">
        <f t="shared" ca="1" si="263"/>
        <v>0</v>
      </c>
      <c r="V627" s="306">
        <f t="shared" ca="1" si="264"/>
        <v>1.2256231166439735</v>
      </c>
      <c r="W627" s="304">
        <f t="shared" ca="1" si="265"/>
        <v>58.391419300812288</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2.9227897887448453</v>
      </c>
      <c r="AH627" s="304">
        <f t="shared" ca="1" si="289"/>
        <v>-6.8293651511207951</v>
      </c>
    </row>
    <row r="628" spans="1:34" x14ac:dyDescent="0.3">
      <c r="A628" s="347">
        <f t="shared" ca="1" si="267"/>
        <v>1E-4</v>
      </c>
      <c r="B628" s="304">
        <f t="shared" ca="1" si="268"/>
        <v>33.111300000000575</v>
      </c>
      <c r="D628" s="306">
        <f t="shared" ca="1" si="269"/>
        <v>-0.74054589575469665</v>
      </c>
      <c r="E628" s="307">
        <f t="shared" ca="1" si="270"/>
        <v>-3.0208634646686585</v>
      </c>
      <c r="F628" s="304">
        <f t="shared" ca="1" si="271"/>
        <v>3.110309356943302</v>
      </c>
      <c r="G628" s="306">
        <f t="shared" ca="1" si="272"/>
        <v>13.444955953383635</v>
      </c>
      <c r="H628" s="307">
        <f t="shared" ca="1" si="273"/>
        <v>-123.26091965108594</v>
      </c>
      <c r="I628" s="304">
        <f t="shared" ca="1" si="274"/>
        <v>123.99202052478978</v>
      </c>
      <c r="J628" s="306">
        <f t="shared" ca="1" si="275"/>
        <v>764.67878961306644</v>
      </c>
      <c r="K628" s="307">
        <f t="shared" ca="1" si="276"/>
        <v>-5.0976991784300889</v>
      </c>
      <c r="L628" s="304">
        <f t="shared" ca="1" si="261"/>
        <v>764.69578122349947</v>
      </c>
      <c r="M628" s="306">
        <f t="shared" ca="1" si="277"/>
        <v>-1.462148659087714</v>
      </c>
      <c r="N628" s="304">
        <f t="shared" ca="1" si="278"/>
        <v>-83.774947186438638</v>
      </c>
      <c r="P628" s="310">
        <f t="shared" ca="1" si="279"/>
        <v>23</v>
      </c>
      <c r="Q628" s="304">
        <f t="shared" ca="1" si="280"/>
        <v>0</v>
      </c>
      <c r="R628" s="306">
        <f t="shared" ca="1" si="281"/>
        <v>0</v>
      </c>
      <c r="S628" s="307">
        <f t="shared" ca="1" si="282"/>
        <v>8.5499999999999989</v>
      </c>
      <c r="T628" s="304">
        <f t="shared" ca="1" si="262"/>
        <v>83.875499999999988</v>
      </c>
      <c r="U628" s="311">
        <f t="shared" ca="1" si="263"/>
        <v>0</v>
      </c>
      <c r="V628" s="306">
        <f t="shared" ca="1" si="264"/>
        <v>1.2256246273574762</v>
      </c>
      <c r="W628" s="304">
        <f t="shared" ca="1" si="265"/>
        <v>58.39176655739498</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2.9227500863057534</v>
      </c>
      <c r="AH628" s="304">
        <f t="shared" ca="1" si="289"/>
        <v>-6.829405766176877</v>
      </c>
    </row>
    <row r="629" spans="1:34" x14ac:dyDescent="0.3">
      <c r="A629" s="347">
        <f t="shared" ca="1" si="267"/>
        <v>1E-4</v>
      </c>
      <c r="B629" s="304">
        <f t="shared" ca="1" si="268"/>
        <v>33.111400000000579</v>
      </c>
      <c r="D629" s="306">
        <f t="shared" ca="1" si="269"/>
        <v>-0.74054447527886291</v>
      </c>
      <c r="E629" s="307">
        <f t="shared" ca="1" si="270"/>
        <v>-3.0208224540199051</v>
      </c>
      <c r="F629" s="304">
        <f t="shared" ca="1" si="271"/>
        <v>3.1102691874782944</v>
      </c>
      <c r="G629" s="306">
        <f t="shared" ca="1" si="272"/>
        <v>13.444881898936108</v>
      </c>
      <c r="H629" s="307">
        <f t="shared" ca="1" si="273"/>
        <v>-123.26122173333134</v>
      </c>
      <c r="I629" s="304">
        <f t="shared" ca="1" si="274"/>
        <v>123.99231279587381</v>
      </c>
      <c r="J629" s="306">
        <f t="shared" ca="1" si="275"/>
        <v>764.67878961306644</v>
      </c>
      <c r="K629" s="307">
        <f t="shared" ca="1" si="276"/>
        <v>-5.1100252854993098</v>
      </c>
      <c r="L629" s="304">
        <f t="shared" ca="1" si="261"/>
        <v>764.69586349248857</v>
      </c>
      <c r="M629" s="306">
        <f t="shared" ca="1" si="277"/>
        <v>-1.4621495169940852</v>
      </c>
      <c r="N629" s="304">
        <f t="shared" ca="1" si="278"/>
        <v>-83.774996340852923</v>
      </c>
      <c r="P629" s="310">
        <f t="shared" ca="1" si="279"/>
        <v>23</v>
      </c>
      <c r="Q629" s="304">
        <f t="shared" ca="1" si="280"/>
        <v>0</v>
      </c>
      <c r="R629" s="306">
        <f t="shared" ca="1" si="281"/>
        <v>0</v>
      </c>
      <c r="S629" s="307">
        <f t="shared" ca="1" si="282"/>
        <v>8.5499999999999989</v>
      </c>
      <c r="T629" s="304">
        <f t="shared" ca="1" si="262"/>
        <v>83.875499999999988</v>
      </c>
      <c r="U629" s="311">
        <f t="shared" ca="1" si="263"/>
        <v>0</v>
      </c>
      <c r="V629" s="306">
        <f t="shared" ca="1" si="264"/>
        <v>1.2256261380765439</v>
      </c>
      <c r="W629" s="304">
        <f t="shared" ca="1" si="265"/>
        <v>58.392113811830924</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2.9227103841012445</v>
      </c>
      <c r="AH629" s="304">
        <f t="shared" ca="1" si="289"/>
        <v>-6.82944638098187</v>
      </c>
    </row>
    <row r="630" spans="1:34" x14ac:dyDescent="0.3">
      <c r="A630" s="347">
        <f t="shared" ca="1" si="267"/>
        <v>1E-4</v>
      </c>
      <c r="B630" s="304">
        <f t="shared" ca="1" si="268"/>
        <v>33.111500000000582</v>
      </c>
      <c r="D630" s="306">
        <f t="shared" ca="1" si="269"/>
        <v>-0.74054305476552196</v>
      </c>
      <c r="E630" s="307">
        <f t="shared" ca="1" si="270"/>
        <v>-3.0207814436246867</v>
      </c>
      <c r="F630" s="304">
        <f t="shared" ca="1" si="271"/>
        <v>3.1102290182732037</v>
      </c>
      <c r="G630" s="306">
        <f t="shared" ca="1" si="272"/>
        <v>13.444807844630631</v>
      </c>
      <c r="H630" s="307">
        <f t="shared" ca="1" si="273"/>
        <v>-123.2615238114757</v>
      </c>
      <c r="I630" s="304">
        <f t="shared" ca="1" si="274"/>
        <v>123.99260506298765</v>
      </c>
      <c r="J630" s="306">
        <f t="shared" ca="1" si="275"/>
        <v>764.67878961306644</v>
      </c>
      <c r="K630" s="307">
        <f t="shared" ca="1" si="276"/>
        <v>-5.1223514227765499</v>
      </c>
      <c r="L630" s="304">
        <f t="shared" ca="1" si="261"/>
        <v>764.6959459603554</v>
      </c>
      <c r="M630" s="306">
        <f t="shared" ca="1" si="277"/>
        <v>-1.4621503748916866</v>
      </c>
      <c r="N630" s="304">
        <f t="shared" ca="1" si="278"/>
        <v>-83.77504549476474</v>
      </c>
      <c r="P630" s="310">
        <f t="shared" ca="1" si="279"/>
        <v>23</v>
      </c>
      <c r="Q630" s="304">
        <f t="shared" ca="1" si="280"/>
        <v>0</v>
      </c>
      <c r="R630" s="306">
        <f t="shared" ca="1" si="281"/>
        <v>0</v>
      </c>
      <c r="S630" s="307">
        <f t="shared" ca="1" si="282"/>
        <v>8.5499999999999989</v>
      </c>
      <c r="T630" s="304">
        <f t="shared" ca="1" si="262"/>
        <v>83.875499999999988</v>
      </c>
      <c r="U630" s="311">
        <f t="shared" ca="1" si="263"/>
        <v>0</v>
      </c>
      <c r="V630" s="306">
        <f t="shared" ca="1" si="264"/>
        <v>1.2256276488011764</v>
      </c>
      <c r="W630" s="304">
        <f t="shared" ca="1" si="265"/>
        <v>58.392461064120099</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2.9226706821313115</v>
      </c>
      <c r="AH630" s="304">
        <f t="shared" ca="1" si="289"/>
        <v>-6.8294869955357811</v>
      </c>
    </row>
    <row r="631" spans="1:34" x14ac:dyDescent="0.3">
      <c r="A631" s="347">
        <f t="shared" ca="1" si="267"/>
        <v>1E-4</v>
      </c>
      <c r="B631" s="304">
        <f t="shared" ca="1" si="268"/>
        <v>33.111600000000585</v>
      </c>
      <c r="D631" s="306">
        <f t="shared" ca="1" si="269"/>
        <v>-0.74054163421467523</v>
      </c>
      <c r="E631" s="307">
        <f t="shared" ca="1" si="270"/>
        <v>-3.0207404334830068</v>
      </c>
      <c r="F631" s="304">
        <f t="shared" ca="1" si="271"/>
        <v>3.110188849328035</v>
      </c>
      <c r="G631" s="306">
        <f t="shared" ca="1" si="272"/>
        <v>13.444733790467209</v>
      </c>
      <c r="H631" s="307">
        <f t="shared" ca="1" si="273"/>
        <v>-123.26182588551904</v>
      </c>
      <c r="I631" s="304">
        <f t="shared" ca="1" si="274"/>
        <v>123.99289732613133</v>
      </c>
      <c r="J631" s="306">
        <f t="shared" ca="1" si="275"/>
        <v>764.67878961306644</v>
      </c>
      <c r="K631" s="307">
        <f t="shared" ca="1" si="276"/>
        <v>-5.1346775902613997</v>
      </c>
      <c r="L631" s="304">
        <f t="shared" ca="1" si="261"/>
        <v>764.6960286271011</v>
      </c>
      <c r="M631" s="306">
        <f t="shared" ca="1" si="277"/>
        <v>-1.4621512327805188</v>
      </c>
      <c r="N631" s="304">
        <f t="shared" ca="1" si="278"/>
        <v>-83.775094648174118</v>
      </c>
      <c r="P631" s="310">
        <f t="shared" ca="1" si="279"/>
        <v>23</v>
      </c>
      <c r="Q631" s="304">
        <f t="shared" ca="1" si="280"/>
        <v>0</v>
      </c>
      <c r="R631" s="306">
        <f t="shared" ca="1" si="281"/>
        <v>0</v>
      </c>
      <c r="S631" s="307">
        <f t="shared" ca="1" si="282"/>
        <v>8.5499999999999989</v>
      </c>
      <c r="T631" s="304">
        <f t="shared" ca="1" si="262"/>
        <v>83.875499999999988</v>
      </c>
      <c r="U631" s="311">
        <f t="shared" ca="1" si="263"/>
        <v>0</v>
      </c>
      <c r="V631" s="306">
        <f t="shared" ca="1" si="264"/>
        <v>1.2256291595313742</v>
      </c>
      <c r="W631" s="304">
        <f t="shared" ca="1" si="265"/>
        <v>58.392808314262524</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2.9226309803959545</v>
      </c>
      <c r="AH631" s="304">
        <f t="shared" ca="1" si="289"/>
        <v>-6.8295276098386086</v>
      </c>
    </row>
    <row r="632" spans="1:34" x14ac:dyDescent="0.3">
      <c r="A632" s="347">
        <f t="shared" ca="1" si="267"/>
        <v>1E-4</v>
      </c>
      <c r="B632" s="304">
        <f t="shared" ca="1" si="268"/>
        <v>33.111700000000589</v>
      </c>
      <c r="D632" s="306">
        <f t="shared" ca="1" si="269"/>
        <v>-0.74054021362632017</v>
      </c>
      <c r="E632" s="307">
        <f t="shared" ca="1" si="270"/>
        <v>-3.0206994235948628</v>
      </c>
      <c r="F632" s="304">
        <f t="shared" ca="1" si="271"/>
        <v>3.1101486806427845</v>
      </c>
      <c r="G632" s="306">
        <f t="shared" ca="1" si="272"/>
        <v>13.444659736445846</v>
      </c>
      <c r="H632" s="307">
        <f t="shared" ca="1" si="273"/>
        <v>-123.26212795546141</v>
      </c>
      <c r="I632" s="304">
        <f t="shared" ca="1" si="274"/>
        <v>123.99318958530483</v>
      </c>
      <c r="J632" s="306">
        <f t="shared" ca="1" si="275"/>
        <v>764.67878961306644</v>
      </c>
      <c r="K632" s="307">
        <f t="shared" ca="1" si="276"/>
        <v>-5.1470037879534489</v>
      </c>
      <c r="L632" s="304">
        <f t="shared" ca="1" si="261"/>
        <v>764.69611149272725</v>
      </c>
      <c r="M632" s="306">
        <f t="shared" ca="1" si="277"/>
        <v>-1.4621520906605812</v>
      </c>
      <c r="N632" s="304">
        <f t="shared" ca="1" si="278"/>
        <v>-83.775143801081015</v>
      </c>
      <c r="P632" s="310">
        <f t="shared" ca="1" si="279"/>
        <v>23</v>
      </c>
      <c r="Q632" s="304">
        <f t="shared" ca="1" si="280"/>
        <v>0</v>
      </c>
      <c r="R632" s="306">
        <f t="shared" ca="1" si="281"/>
        <v>0</v>
      </c>
      <c r="S632" s="307">
        <f t="shared" ca="1" si="282"/>
        <v>8.5499999999999989</v>
      </c>
      <c r="T632" s="304">
        <f t="shared" ca="1" si="262"/>
        <v>83.875499999999988</v>
      </c>
      <c r="U632" s="311">
        <f t="shared" ca="1" si="263"/>
        <v>0</v>
      </c>
      <c r="V632" s="306">
        <f t="shared" ca="1" si="264"/>
        <v>1.2256306702671369</v>
      </c>
      <c r="W632" s="304">
        <f t="shared" ca="1" si="265"/>
        <v>58.393155562258123</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2.9225912788951733</v>
      </c>
      <c r="AH632" s="304">
        <f t="shared" ca="1" si="289"/>
        <v>-6.8295682238903543</v>
      </c>
    </row>
    <row r="633" spans="1:34" x14ac:dyDescent="0.3">
      <c r="A633" s="347">
        <f t="shared" ca="1" si="267"/>
        <v>1E-4</v>
      </c>
      <c r="B633" s="304">
        <f t="shared" ca="1" si="268"/>
        <v>33.111800000000592</v>
      </c>
      <c r="D633" s="306">
        <f t="shared" ca="1" si="269"/>
        <v>-0.7405387930004621</v>
      </c>
      <c r="E633" s="307">
        <f t="shared" ca="1" si="270"/>
        <v>-3.0206584139602644</v>
      </c>
      <c r="F633" s="304">
        <f t="shared" ca="1" si="271"/>
        <v>3.110108512217463</v>
      </c>
      <c r="G633" s="306">
        <f t="shared" ca="1" si="272"/>
        <v>13.444585682566546</v>
      </c>
      <c r="H633" s="307">
        <f t="shared" ca="1" si="273"/>
        <v>-123.26243002130281</v>
      </c>
      <c r="I633" s="304">
        <f t="shared" ca="1" si="274"/>
        <v>123.99348184050822</v>
      </c>
      <c r="J633" s="306">
        <f t="shared" ca="1" si="275"/>
        <v>764.67878961306644</v>
      </c>
      <c r="K633" s="307">
        <f t="shared" ca="1" si="276"/>
        <v>-5.1593300158522872</v>
      </c>
      <c r="L633" s="304">
        <f t="shared" ca="1" si="261"/>
        <v>764.69619455723512</v>
      </c>
      <c r="M633" s="306">
        <f t="shared" ca="1" si="277"/>
        <v>-1.4621529485318745</v>
      </c>
      <c r="N633" s="304">
        <f t="shared" ca="1" si="278"/>
        <v>-83.775192953485487</v>
      </c>
      <c r="P633" s="310">
        <f t="shared" ca="1" si="279"/>
        <v>23</v>
      </c>
      <c r="Q633" s="304">
        <f t="shared" ca="1" si="280"/>
        <v>0</v>
      </c>
      <c r="R633" s="306">
        <f t="shared" ca="1" si="281"/>
        <v>0</v>
      </c>
      <c r="S633" s="307">
        <f t="shared" ca="1" si="282"/>
        <v>8.5499999999999989</v>
      </c>
      <c r="T633" s="304">
        <f t="shared" ca="1" si="262"/>
        <v>83.875499999999988</v>
      </c>
      <c r="U633" s="311">
        <f t="shared" ca="1" si="263"/>
        <v>0</v>
      </c>
      <c r="V633" s="306">
        <f t="shared" ca="1" si="264"/>
        <v>1.2256321810084647</v>
      </c>
      <c r="W633" s="304">
        <f t="shared" ca="1" si="265"/>
        <v>58.393502808106952</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2.922551577628977</v>
      </c>
      <c r="AH633" s="304">
        <f t="shared" ca="1" si="289"/>
        <v>-6.8296088376910093</v>
      </c>
    </row>
    <row r="634" spans="1:34" x14ac:dyDescent="0.3">
      <c r="A634" s="347">
        <f t="shared" ca="1" si="267"/>
        <v>1E-4</v>
      </c>
      <c r="B634" s="304">
        <f t="shared" ca="1" si="268"/>
        <v>33.111900000000595</v>
      </c>
      <c r="D634" s="306">
        <f t="shared" ca="1" si="269"/>
        <v>-0.74053737233709716</v>
      </c>
      <c r="E634" s="307">
        <f t="shared" ca="1" si="270"/>
        <v>-3.0206174045792054</v>
      </c>
      <c r="F634" s="304">
        <f t="shared" ca="1" si="271"/>
        <v>3.1100683440520638</v>
      </c>
      <c r="G634" s="306">
        <f t="shared" ca="1" si="272"/>
        <v>13.444511628829312</v>
      </c>
      <c r="H634" s="307">
        <f t="shared" ca="1" si="273"/>
        <v>-123.26273208304326</v>
      </c>
      <c r="I634" s="304">
        <f t="shared" ca="1" si="274"/>
        <v>123.99377409174151</v>
      </c>
      <c r="J634" s="306">
        <f t="shared" ca="1" si="275"/>
        <v>764.67878961306644</v>
      </c>
      <c r="K634" s="307">
        <f t="shared" ca="1" si="276"/>
        <v>-5.1716562739575043</v>
      </c>
      <c r="L634" s="304">
        <f t="shared" ca="1" si="261"/>
        <v>764.69627782062616</v>
      </c>
      <c r="M634" s="306">
        <f t="shared" ca="1" si="277"/>
        <v>-1.4621538063943984</v>
      </c>
      <c r="N634" s="304">
        <f t="shared" ca="1" si="278"/>
        <v>-83.775242105387505</v>
      </c>
      <c r="P634" s="310">
        <f t="shared" ca="1" si="279"/>
        <v>23</v>
      </c>
      <c r="Q634" s="304">
        <f t="shared" ca="1" si="280"/>
        <v>0</v>
      </c>
      <c r="R634" s="306">
        <f t="shared" ca="1" si="281"/>
        <v>0</v>
      </c>
      <c r="S634" s="307">
        <f t="shared" ca="1" si="282"/>
        <v>8.5499999999999989</v>
      </c>
      <c r="T634" s="304">
        <f t="shared" ca="1" si="262"/>
        <v>83.875499999999988</v>
      </c>
      <c r="U634" s="311">
        <f t="shared" ca="1" si="263"/>
        <v>0</v>
      </c>
      <c r="V634" s="306">
        <f t="shared" ca="1" si="264"/>
        <v>1.225633691755357</v>
      </c>
      <c r="W634" s="304">
        <f t="shared" ca="1" si="265"/>
        <v>58.393850051808919</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2.9225118765973628</v>
      </c>
      <c r="AH634" s="304">
        <f t="shared" ca="1" si="289"/>
        <v>-6.8296494512405799</v>
      </c>
    </row>
    <row r="635" spans="1:34" x14ac:dyDescent="0.3">
      <c r="A635" s="347">
        <f t="shared" ca="1" si="267"/>
        <v>1E-4</v>
      </c>
      <c r="B635" s="304">
        <f t="shared" ca="1" si="268"/>
        <v>33.112000000000599</v>
      </c>
      <c r="D635" s="306">
        <f t="shared" ca="1" si="269"/>
        <v>-0.74053595163622921</v>
      </c>
      <c r="E635" s="307">
        <f t="shared" ca="1" si="270"/>
        <v>-3.0205763954516947</v>
      </c>
      <c r="F635" s="304">
        <f t="shared" ca="1" si="271"/>
        <v>3.1100281761465967</v>
      </c>
      <c r="G635" s="306">
        <f t="shared" ca="1" si="272"/>
        <v>13.444437575234149</v>
      </c>
      <c r="H635" s="307">
        <f t="shared" ca="1" si="273"/>
        <v>-123.26303414068281</v>
      </c>
      <c r="I635" s="304">
        <f t="shared" ca="1" si="274"/>
        <v>123.99406633900472</v>
      </c>
      <c r="J635" s="306">
        <f t="shared" ca="1" si="275"/>
        <v>764.67878961306644</v>
      </c>
      <c r="K635" s="307">
        <f t="shared" ca="1" si="276"/>
        <v>-5.1839825622686906</v>
      </c>
      <c r="L635" s="304">
        <f t="shared" ca="1" si="261"/>
        <v>764.69636128290176</v>
      </c>
      <c r="M635" s="306">
        <f t="shared" ca="1" si="277"/>
        <v>-1.4621546642481535</v>
      </c>
      <c r="N635" s="304">
        <f t="shared" ca="1" si="278"/>
        <v>-83.775291256787114</v>
      </c>
      <c r="P635" s="310">
        <f t="shared" ca="1" si="279"/>
        <v>23</v>
      </c>
      <c r="Q635" s="304">
        <f t="shared" ca="1" si="280"/>
        <v>0</v>
      </c>
      <c r="R635" s="306">
        <f t="shared" ca="1" si="281"/>
        <v>0</v>
      </c>
      <c r="S635" s="307">
        <f t="shared" ca="1" si="282"/>
        <v>8.5499999999999989</v>
      </c>
      <c r="T635" s="304">
        <f t="shared" ca="1" si="262"/>
        <v>83.875499999999988</v>
      </c>
      <c r="U635" s="311">
        <f t="shared" ca="1" si="263"/>
        <v>0</v>
      </c>
      <c r="V635" s="306">
        <f t="shared" ca="1" si="264"/>
        <v>1.2256352025078143</v>
      </c>
      <c r="W635" s="304">
        <f t="shared" ca="1" si="265"/>
        <v>58.394197293364073</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2.922472175800336</v>
      </c>
      <c r="AH635" s="304">
        <f t="shared" ca="1" si="289"/>
        <v>-6.8296900645390552</v>
      </c>
    </row>
    <row r="636" spans="1:34" x14ac:dyDescent="0.3">
      <c r="A636" s="347">
        <f t="shared" ca="1" si="267"/>
        <v>1E-4</v>
      </c>
      <c r="B636" s="304">
        <f t="shared" ca="1" si="268"/>
        <v>33.112100000000602</v>
      </c>
      <c r="D636" s="306">
        <f t="shared" ca="1" si="269"/>
        <v>-0.74053453089785581</v>
      </c>
      <c r="E636" s="307">
        <f t="shared" ca="1" si="270"/>
        <v>-3.0205353865777278</v>
      </c>
      <c r="F636" s="304">
        <f t="shared" ca="1" si="271"/>
        <v>3.1099880085010567</v>
      </c>
      <c r="G636" s="306">
        <f t="shared" ca="1" si="272"/>
        <v>13.444363521781058</v>
      </c>
      <c r="H636" s="307">
        <f t="shared" ca="1" si="273"/>
        <v>-123.26333619422147</v>
      </c>
      <c r="I636" s="304">
        <f t="shared" ca="1" si="274"/>
        <v>123.99435858229788</v>
      </c>
      <c r="J636" s="306">
        <f t="shared" ca="1" si="275"/>
        <v>764.67878961306644</v>
      </c>
      <c r="K636" s="307">
        <f t="shared" ca="1" si="276"/>
        <v>-5.1963088807854358</v>
      </c>
      <c r="L636" s="304">
        <f t="shared" ca="1" si="261"/>
        <v>764.69644494406339</v>
      </c>
      <c r="M636" s="306">
        <f t="shared" ca="1" si="277"/>
        <v>-1.4621555220931395</v>
      </c>
      <c r="N636" s="304">
        <f t="shared" ca="1" si="278"/>
        <v>-83.775340407684283</v>
      </c>
      <c r="P636" s="310">
        <f t="shared" ca="1" si="279"/>
        <v>23</v>
      </c>
      <c r="Q636" s="304">
        <f t="shared" ca="1" si="280"/>
        <v>0</v>
      </c>
      <c r="R636" s="306">
        <f t="shared" ca="1" si="281"/>
        <v>0</v>
      </c>
      <c r="S636" s="307">
        <f t="shared" ca="1" si="282"/>
        <v>8.5499999999999989</v>
      </c>
      <c r="T636" s="304">
        <f t="shared" ca="1" si="262"/>
        <v>83.875499999999988</v>
      </c>
      <c r="U636" s="311">
        <f t="shared" ca="1" si="263"/>
        <v>0</v>
      </c>
      <c r="V636" s="306">
        <f t="shared" ca="1" si="264"/>
        <v>1.2256367132658363</v>
      </c>
      <c r="W636" s="304">
        <f t="shared" ca="1" si="265"/>
        <v>58.394544532772372</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2.9224324752378958</v>
      </c>
      <c r="AH636" s="304">
        <f t="shared" ca="1" si="289"/>
        <v>-6.8297306775864417</v>
      </c>
    </row>
    <row r="637" spans="1:34" x14ac:dyDescent="0.3">
      <c r="A637" s="347">
        <f t="shared" ca="1" si="267"/>
        <v>1E-4</v>
      </c>
      <c r="B637" s="304">
        <f t="shared" ca="1" si="268"/>
        <v>33.112200000000605</v>
      </c>
      <c r="D637" s="306">
        <f t="shared" ca="1" si="269"/>
        <v>-0.74053311012198153</v>
      </c>
      <c r="E637" s="307">
        <f t="shared" ca="1" si="270"/>
        <v>-3.0204943779573092</v>
      </c>
      <c r="F637" s="304">
        <f t="shared" ca="1" si="271"/>
        <v>3.1099478411154498</v>
      </c>
      <c r="G637" s="306">
        <f t="shared" ca="1" si="272"/>
        <v>13.444289468470046</v>
      </c>
      <c r="H637" s="307">
        <f t="shared" ca="1" si="273"/>
        <v>-123.26363824365926</v>
      </c>
      <c r="I637" s="304">
        <f t="shared" ca="1" si="274"/>
        <v>123.99465082162098</v>
      </c>
      <c r="J637" s="306">
        <f t="shared" ca="1" si="275"/>
        <v>764.67878961306644</v>
      </c>
      <c r="K637" s="307">
        <f t="shared" ca="1" si="276"/>
        <v>-5.2086352295073297</v>
      </c>
      <c r="L637" s="304">
        <f t="shared" ca="1" si="261"/>
        <v>764.69652880411218</v>
      </c>
      <c r="M637" s="306">
        <f t="shared" ca="1" si="277"/>
        <v>-1.4621563799293569</v>
      </c>
      <c r="N637" s="304">
        <f t="shared" ca="1" si="278"/>
        <v>-83.775389558079056</v>
      </c>
      <c r="P637" s="310">
        <f t="shared" ca="1" si="279"/>
        <v>23</v>
      </c>
      <c r="Q637" s="304">
        <f t="shared" ca="1" si="280"/>
        <v>0</v>
      </c>
      <c r="R637" s="306">
        <f t="shared" ca="1" si="281"/>
        <v>0</v>
      </c>
      <c r="S637" s="307">
        <f t="shared" ca="1" si="282"/>
        <v>8.5499999999999989</v>
      </c>
      <c r="T637" s="304">
        <f t="shared" ca="1" si="262"/>
        <v>83.875499999999988</v>
      </c>
      <c r="U637" s="311">
        <f t="shared" ca="1" si="263"/>
        <v>0</v>
      </c>
      <c r="V637" s="306">
        <f t="shared" ca="1" si="264"/>
        <v>1.225638224029423</v>
      </c>
      <c r="W637" s="304">
        <f t="shared" ca="1" si="265"/>
        <v>58.39489177003378</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2.9223927749100431</v>
      </c>
      <c r="AH637" s="304">
        <f t="shared" ca="1" si="289"/>
        <v>-6.8297712903827348</v>
      </c>
    </row>
    <row r="638" spans="1:34" x14ac:dyDescent="0.3">
      <c r="A638" s="347">
        <f t="shared" ca="1" si="267"/>
        <v>1E-4</v>
      </c>
      <c r="B638" s="304">
        <f t="shared" ca="1" si="268"/>
        <v>33.112300000000609</v>
      </c>
      <c r="D638" s="306">
        <f t="shared" ca="1" si="269"/>
        <v>-0.74053168930860258</v>
      </c>
      <c r="E638" s="307">
        <f t="shared" ca="1" si="270"/>
        <v>-3.0204533695904452</v>
      </c>
      <c r="F638" s="304">
        <f t="shared" ca="1" si="271"/>
        <v>3.1099076739897806</v>
      </c>
      <c r="G638" s="306">
        <f t="shared" ca="1" si="272"/>
        <v>13.444215415301116</v>
      </c>
      <c r="H638" s="307">
        <f t="shared" ca="1" si="273"/>
        <v>-123.26394028899622</v>
      </c>
      <c r="I638" s="304">
        <f t="shared" ca="1" si="274"/>
        <v>123.99494305697408</v>
      </c>
      <c r="J638" s="306">
        <f t="shared" ca="1" si="275"/>
        <v>764.67878961306644</v>
      </c>
      <c r="K638" s="307">
        <f t="shared" ca="1" si="276"/>
        <v>-5.2209616084339627</v>
      </c>
      <c r="L638" s="304">
        <f t="shared" ca="1" si="261"/>
        <v>764.69661286304984</v>
      </c>
      <c r="M638" s="306">
        <f t="shared" ca="1" si="277"/>
        <v>-1.4621572377568055</v>
      </c>
      <c r="N638" s="304">
        <f t="shared" ca="1" si="278"/>
        <v>-83.775438707971418</v>
      </c>
      <c r="P638" s="310">
        <f t="shared" ca="1" si="279"/>
        <v>23</v>
      </c>
      <c r="Q638" s="304">
        <f t="shared" ca="1" si="280"/>
        <v>0</v>
      </c>
      <c r="R638" s="306">
        <f t="shared" ca="1" si="281"/>
        <v>0</v>
      </c>
      <c r="S638" s="307">
        <f t="shared" ca="1" si="282"/>
        <v>8.5499999999999989</v>
      </c>
      <c r="T638" s="304">
        <f t="shared" ca="1" si="262"/>
        <v>83.875499999999988</v>
      </c>
      <c r="U638" s="311">
        <f t="shared" ca="1" si="263"/>
        <v>0</v>
      </c>
      <c r="V638" s="306">
        <f t="shared" ca="1" si="264"/>
        <v>1.2256397347985744</v>
      </c>
      <c r="W638" s="304">
        <f t="shared" ca="1" si="265"/>
        <v>58.395239005148341</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2.9223530748167876</v>
      </c>
      <c r="AH638" s="304">
        <f t="shared" ca="1" si="289"/>
        <v>-6.8298119029279283</v>
      </c>
    </row>
    <row r="639" spans="1:34" x14ac:dyDescent="0.3">
      <c r="A639" s="347">
        <f t="shared" ca="1" si="267"/>
        <v>1E-4</v>
      </c>
      <c r="B639" s="304">
        <f t="shared" ca="1" si="268"/>
        <v>33.112400000000612</v>
      </c>
      <c r="D639" s="306">
        <f t="shared" ca="1" si="269"/>
        <v>-0.74053026845772318</v>
      </c>
      <c r="E639" s="307">
        <f t="shared" ca="1" si="270"/>
        <v>-3.0204123614771268</v>
      </c>
      <c r="F639" s="304">
        <f t="shared" ca="1" si="271"/>
        <v>3.1098675071240414</v>
      </c>
      <c r="G639" s="306">
        <f t="shared" ca="1" si="272"/>
        <v>13.444141362274269</v>
      </c>
      <c r="H639" s="307">
        <f t="shared" ca="1" si="273"/>
        <v>-123.26424233023238</v>
      </c>
      <c r="I639" s="304">
        <f t="shared" ca="1" si="274"/>
        <v>123.99523528835722</v>
      </c>
      <c r="J639" s="306">
        <f t="shared" ca="1" si="275"/>
        <v>764.67878961306644</v>
      </c>
      <c r="K639" s="307">
        <f t="shared" ca="1" si="276"/>
        <v>-5.2332880175649246</v>
      </c>
      <c r="L639" s="304">
        <f t="shared" ca="1" si="261"/>
        <v>764.69669712087762</v>
      </c>
      <c r="M639" s="306">
        <f t="shared" ca="1" si="277"/>
        <v>-1.4621580955754858</v>
      </c>
      <c r="N639" s="304">
        <f t="shared" ca="1" si="278"/>
        <v>-83.775487857361384</v>
      </c>
      <c r="P639" s="310">
        <f t="shared" ca="1" si="279"/>
        <v>23</v>
      </c>
      <c r="Q639" s="304">
        <f t="shared" ca="1" si="280"/>
        <v>0</v>
      </c>
      <c r="R639" s="306">
        <f t="shared" ca="1" si="281"/>
        <v>0</v>
      </c>
      <c r="S639" s="307">
        <f t="shared" ca="1" si="282"/>
        <v>8.5499999999999989</v>
      </c>
      <c r="T639" s="304">
        <f t="shared" ca="1" si="262"/>
        <v>83.875499999999988</v>
      </c>
      <c r="U639" s="311">
        <f t="shared" ca="1" si="263"/>
        <v>0</v>
      </c>
      <c r="V639" s="306">
        <f t="shared" ca="1" si="264"/>
        <v>1.2256412455732903</v>
      </c>
      <c r="W639" s="304">
        <f t="shared" ca="1" si="265"/>
        <v>58.395586238116017</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2.9223133749581223</v>
      </c>
      <c r="AH639" s="304">
        <f t="shared" ca="1" si="289"/>
        <v>-6.8298525152220293</v>
      </c>
    </row>
    <row r="640" spans="1:34" x14ac:dyDescent="0.3">
      <c r="A640" s="347">
        <f t="shared" ca="1" si="267"/>
        <v>1E-4</v>
      </c>
      <c r="B640" s="304">
        <f t="shared" ca="1" si="268"/>
        <v>33.112500000000615</v>
      </c>
      <c r="D640" s="306">
        <f t="shared" ca="1" si="269"/>
        <v>-0.74052884756934134</v>
      </c>
      <c r="E640" s="307">
        <f t="shared" ca="1" si="270"/>
        <v>-3.0203713536173611</v>
      </c>
      <c r="F640" s="304">
        <f t="shared" ca="1" si="271"/>
        <v>3.1098273405182395</v>
      </c>
      <c r="G640" s="306">
        <f t="shared" ca="1" si="272"/>
        <v>13.444067309389512</v>
      </c>
      <c r="H640" s="307">
        <f t="shared" ca="1" si="273"/>
        <v>-123.26454436736773</v>
      </c>
      <c r="I640" s="304">
        <f t="shared" ca="1" si="274"/>
        <v>123.99552751577036</v>
      </c>
      <c r="J640" s="306">
        <f t="shared" ca="1" si="275"/>
        <v>764.67878961306644</v>
      </c>
      <c r="K640" s="307">
        <f t="shared" ca="1" si="276"/>
        <v>-5.2456144568998049</v>
      </c>
      <c r="L640" s="304">
        <f t="shared" ca="1" si="261"/>
        <v>764.69678157759677</v>
      </c>
      <c r="M640" s="306">
        <f t="shared" ca="1" si="277"/>
        <v>-1.4621589533853976</v>
      </c>
      <c r="N640" s="304">
        <f t="shared" ca="1" si="278"/>
        <v>-83.775537006248953</v>
      </c>
      <c r="P640" s="310">
        <f t="shared" ca="1" si="279"/>
        <v>23</v>
      </c>
      <c r="Q640" s="304">
        <f t="shared" ca="1" si="280"/>
        <v>0</v>
      </c>
      <c r="R640" s="306">
        <f t="shared" ca="1" si="281"/>
        <v>0</v>
      </c>
      <c r="S640" s="307">
        <f t="shared" ca="1" si="282"/>
        <v>8.5499999999999989</v>
      </c>
      <c r="T640" s="304">
        <f t="shared" ca="1" si="262"/>
        <v>83.875499999999988</v>
      </c>
      <c r="U640" s="311">
        <f t="shared" ca="1" si="263"/>
        <v>0</v>
      </c>
      <c r="V640" s="306">
        <f t="shared" ca="1" si="264"/>
        <v>1.2256427563535714</v>
      </c>
      <c r="W640" s="304">
        <f t="shared" ca="1" si="265"/>
        <v>58.395933468936768</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2.9222736753340506</v>
      </c>
      <c r="AH640" s="304">
        <f t="shared" ca="1" si="289"/>
        <v>-6.8298931272650325</v>
      </c>
    </row>
    <row r="641" spans="1:34" x14ac:dyDescent="0.3">
      <c r="A641" s="347">
        <f t="shared" ca="1" si="267"/>
        <v>1E-4</v>
      </c>
      <c r="B641" s="304">
        <f t="shared" ca="1" si="268"/>
        <v>33.112600000000619</v>
      </c>
      <c r="D641" s="306">
        <f t="shared" ca="1" si="269"/>
        <v>-0.74052742664345983</v>
      </c>
      <c r="E641" s="307">
        <f t="shared" ca="1" si="270"/>
        <v>-3.0203303460111535</v>
      </c>
      <c r="F641" s="304">
        <f t="shared" ca="1" si="271"/>
        <v>3.1097871741723804</v>
      </c>
      <c r="G641" s="306">
        <f t="shared" ca="1" si="272"/>
        <v>13.443993256646847</v>
      </c>
      <c r="H641" s="307">
        <f t="shared" ca="1" si="273"/>
        <v>-123.26484640040233</v>
      </c>
      <c r="I641" s="304">
        <f t="shared" ca="1" si="274"/>
        <v>123.99581973921357</v>
      </c>
      <c r="J641" s="306">
        <f t="shared" ca="1" si="275"/>
        <v>764.67878961306644</v>
      </c>
      <c r="K641" s="307">
        <f t="shared" ca="1" si="276"/>
        <v>-5.2579409264381933</v>
      </c>
      <c r="L641" s="304">
        <f t="shared" ca="1" si="261"/>
        <v>764.69686623320888</v>
      </c>
      <c r="M641" s="306">
        <f t="shared" ca="1" si="277"/>
        <v>-1.462159811186541</v>
      </c>
      <c r="N641" s="304">
        <f t="shared" ca="1" si="278"/>
        <v>-83.775586154634141</v>
      </c>
      <c r="P641" s="310">
        <f t="shared" ca="1" si="279"/>
        <v>23</v>
      </c>
      <c r="Q641" s="304">
        <f t="shared" ca="1" si="280"/>
        <v>0</v>
      </c>
      <c r="R641" s="306">
        <f t="shared" ca="1" si="281"/>
        <v>0</v>
      </c>
      <c r="S641" s="307">
        <f t="shared" ca="1" si="282"/>
        <v>8.5499999999999989</v>
      </c>
      <c r="T641" s="304">
        <f t="shared" ca="1" si="262"/>
        <v>83.875499999999988</v>
      </c>
      <c r="U641" s="311">
        <f t="shared" ca="1" si="263"/>
        <v>0</v>
      </c>
      <c r="V641" s="306">
        <f t="shared" ca="1" si="264"/>
        <v>1.225644267139417</v>
      </c>
      <c r="W641" s="304">
        <f t="shared" ca="1" si="265"/>
        <v>58.396280697610607</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2.9222339759445797</v>
      </c>
      <c r="AH641" s="304">
        <f t="shared" ca="1" si="289"/>
        <v>-6.8299337390569326</v>
      </c>
    </row>
    <row r="642" spans="1:34" x14ac:dyDescent="0.3">
      <c r="A642" s="347">
        <f t="shared" ca="1" si="267"/>
        <v>1E-4</v>
      </c>
      <c r="B642" s="304">
        <f t="shared" ca="1" si="268"/>
        <v>33.112700000000622</v>
      </c>
      <c r="D642" s="306">
        <f t="shared" ca="1" si="269"/>
        <v>-0.74052600568007909</v>
      </c>
      <c r="E642" s="307">
        <f t="shared" ca="1" si="270"/>
        <v>-3.0202893386585004</v>
      </c>
      <c r="F642" s="304">
        <f t="shared" ca="1" si="271"/>
        <v>3.1097470080864609</v>
      </c>
      <c r="G642" s="306">
        <f t="shared" ca="1" si="272"/>
        <v>13.44391920404628</v>
      </c>
      <c r="H642" s="307">
        <f t="shared" ca="1" si="273"/>
        <v>-123.26514842933619</v>
      </c>
      <c r="I642" s="304">
        <f t="shared" ca="1" si="274"/>
        <v>123.99611195868687</v>
      </c>
      <c r="J642" s="306">
        <f t="shared" ca="1" si="275"/>
        <v>764.67878961306644</v>
      </c>
      <c r="K642" s="307">
        <f t="shared" ca="1" si="276"/>
        <v>-5.2702674261796805</v>
      </c>
      <c r="L642" s="304">
        <f t="shared" ca="1" si="261"/>
        <v>764.69695108771543</v>
      </c>
      <c r="M642" s="306">
        <f t="shared" ca="1" si="277"/>
        <v>-1.4621606689789166</v>
      </c>
      <c r="N642" s="304">
        <f t="shared" ca="1" si="278"/>
        <v>-83.77563530251696</v>
      </c>
      <c r="P642" s="310">
        <f t="shared" ca="1" si="279"/>
        <v>23</v>
      </c>
      <c r="Q642" s="304">
        <f t="shared" ca="1" si="280"/>
        <v>0</v>
      </c>
      <c r="R642" s="306">
        <f t="shared" ca="1" si="281"/>
        <v>0</v>
      </c>
      <c r="S642" s="307">
        <f t="shared" ca="1" si="282"/>
        <v>8.5499999999999989</v>
      </c>
      <c r="T642" s="304">
        <f t="shared" ca="1" si="262"/>
        <v>83.875499999999988</v>
      </c>
      <c r="U642" s="311">
        <f t="shared" ca="1" si="263"/>
        <v>0</v>
      </c>
      <c r="V642" s="306">
        <f t="shared" ca="1" si="264"/>
        <v>1.2256457779308267</v>
      </c>
      <c r="W642" s="304">
        <f t="shared" ca="1" si="265"/>
        <v>58.396627924137498</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2.9221942767897078</v>
      </c>
      <c r="AH642" s="304">
        <f t="shared" ca="1" si="289"/>
        <v>-6.8299743505977331</v>
      </c>
    </row>
    <row r="643" spans="1:34" x14ac:dyDescent="0.3">
      <c r="A643" s="347">
        <f t="shared" ca="1" si="267"/>
        <v>1E-4</v>
      </c>
      <c r="B643" s="304">
        <f t="shared" ca="1" si="268"/>
        <v>33.112800000000625</v>
      </c>
      <c r="D643" s="306">
        <f t="shared" ca="1" si="269"/>
        <v>-0.74052458467919724</v>
      </c>
      <c r="E643" s="307">
        <f t="shared" ca="1" si="270"/>
        <v>-3.0202483315594071</v>
      </c>
      <c r="F643" s="304">
        <f t="shared" ca="1" si="271"/>
        <v>3.109706842260485</v>
      </c>
      <c r="G643" s="306">
        <f t="shared" ca="1" si="272"/>
        <v>13.443845151587812</v>
      </c>
      <c r="H643" s="307">
        <f t="shared" ca="1" si="273"/>
        <v>-123.26545045416935</v>
      </c>
      <c r="I643" s="304">
        <f t="shared" ca="1" si="274"/>
        <v>123.99640417419027</v>
      </c>
      <c r="J643" s="306">
        <f t="shared" ca="1" si="275"/>
        <v>764.67878961306644</v>
      </c>
      <c r="K643" s="307">
        <f t="shared" ca="1" si="276"/>
        <v>-5.282593956123856</v>
      </c>
      <c r="L643" s="304">
        <f t="shared" ca="1" si="261"/>
        <v>764.69703614111756</v>
      </c>
      <c r="M643" s="306">
        <f t="shared" ca="1" si="277"/>
        <v>-1.4621615267625241</v>
      </c>
      <c r="N643" s="304">
        <f t="shared" ca="1" si="278"/>
        <v>-83.775684449897398</v>
      </c>
      <c r="P643" s="310">
        <f t="shared" ca="1" si="279"/>
        <v>23</v>
      </c>
      <c r="Q643" s="304">
        <f t="shared" ca="1" si="280"/>
        <v>0</v>
      </c>
      <c r="R643" s="306">
        <f t="shared" ca="1" si="281"/>
        <v>0</v>
      </c>
      <c r="S643" s="307">
        <f t="shared" ca="1" si="282"/>
        <v>8.5499999999999989</v>
      </c>
      <c r="T643" s="304">
        <f t="shared" ca="1" si="262"/>
        <v>83.875499999999988</v>
      </c>
      <c r="U643" s="311">
        <f t="shared" ca="1" si="263"/>
        <v>0</v>
      </c>
      <c r="V643" s="306">
        <f t="shared" ca="1" si="264"/>
        <v>1.2256472887278012</v>
      </c>
      <c r="W643" s="304">
        <f t="shared" ca="1" si="265"/>
        <v>58.396975148517441</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2.9221545778694376</v>
      </c>
      <c r="AH643" s="304">
        <f t="shared" ca="1" si="289"/>
        <v>-6.8300149618874277</v>
      </c>
    </row>
    <row r="644" spans="1:34" x14ac:dyDescent="0.3">
      <c r="A644" s="347">
        <f t="shared" ca="1" si="267"/>
        <v>1E-4</v>
      </c>
      <c r="B644" s="304">
        <f t="shared" ca="1" si="268"/>
        <v>33.112900000000629</v>
      </c>
      <c r="D644" s="306">
        <f t="shared" ca="1" si="269"/>
        <v>-0.74052316364081749</v>
      </c>
      <c r="E644" s="307">
        <f t="shared" ca="1" si="270"/>
        <v>-3.0202073247138728</v>
      </c>
      <c r="F644" s="304">
        <f t="shared" ca="1" si="271"/>
        <v>3.1096666766944545</v>
      </c>
      <c r="G644" s="306">
        <f t="shared" ca="1" si="272"/>
        <v>13.443771099271448</v>
      </c>
      <c r="H644" s="307">
        <f t="shared" ca="1" si="273"/>
        <v>-123.26575247490183</v>
      </c>
      <c r="I644" s="304">
        <f t="shared" ca="1" si="274"/>
        <v>123.99669638572381</v>
      </c>
      <c r="J644" s="306">
        <f t="shared" ca="1" si="275"/>
        <v>764.67878961306644</v>
      </c>
      <c r="K644" s="307">
        <f t="shared" ca="1" si="276"/>
        <v>-5.2949205162703095</v>
      </c>
      <c r="L644" s="304">
        <f t="shared" ref="L644:L707" ca="1" si="290">SQRT(pos_x^2+pos_z^2)</f>
        <v>764.69712139341675</v>
      </c>
      <c r="M644" s="306">
        <f t="shared" ca="1" si="277"/>
        <v>-1.4621623845373639</v>
      </c>
      <c r="N644" s="304">
        <f t="shared" ca="1" si="278"/>
        <v>-83.775733596775495</v>
      </c>
      <c r="P644" s="310">
        <f t="shared" ca="1" si="279"/>
        <v>23</v>
      </c>
      <c r="Q644" s="304">
        <f t="shared" ca="1" si="280"/>
        <v>0</v>
      </c>
      <c r="R644" s="306">
        <f t="shared" ca="1" si="281"/>
        <v>0</v>
      </c>
      <c r="S644" s="307">
        <f t="shared" ca="1" si="282"/>
        <v>8.5499999999999989</v>
      </c>
      <c r="T644" s="304">
        <f t="shared" ref="T644:T707" ca="1" si="291">m*g</f>
        <v>83.875499999999988</v>
      </c>
      <c r="U644" s="311">
        <f t="shared" ref="U644:U707" ca="1" si="292">IF(pos_xz&lt;L_rampe,Poids*COS(Beta),0)</f>
        <v>0</v>
      </c>
      <c r="V644" s="306">
        <f t="shared" ref="V644:V707" ca="1" si="293">Rho_moyen*(20000-Alt_rampe-pos_z)/(20000+Alt_rampe+pos_z)</f>
        <v>1.2256487995303404</v>
      </c>
      <c r="W644" s="304">
        <f t="shared" ref="W644:W707" ca="1" si="294">1/2*Rho*Sref*Cx*vit_xz^2</f>
        <v>58.397322370750459</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2.9221148791837734</v>
      </c>
      <c r="AH644" s="304">
        <f t="shared" ca="1" si="289"/>
        <v>-6.8300555729260175</v>
      </c>
    </row>
    <row r="645" spans="1:34" x14ac:dyDescent="0.3">
      <c r="A645" s="347">
        <f t="shared" ref="A645:A708" ca="1" si="296">IF(B644+0.01&lt;=T_ini+ROUNDUP(Temps_fin_propu,0), 0.01, IF(K644&gt;0, 0.1, 0.0001))</f>
        <v>1E-4</v>
      </c>
      <c r="B645" s="304">
        <f t="shared" ref="B645:B708" ca="1" si="297">B644+pas</f>
        <v>33.113000000000632</v>
      </c>
      <c r="D645" s="306">
        <f t="shared" ref="D645:D708" ca="1" si="298">IF(AND(L644&lt;L_rampe,Poussee&lt;Poids*SIN(M644)),0,(-W644+Poussee)/m*COS(M644)-U644/m*SIN(M644))</f>
        <v>-0.74052174256493897</v>
      </c>
      <c r="E645" s="307">
        <f t="shared" ref="E645:E708" ca="1" si="299">IF(AND(L644&lt;L_rampe,Poussee&lt;Poids*SIN(M644)),0,(-W644+Poussee)/m*SIN(M644)+U644/m*COS(M644)-Poids/m)</f>
        <v>-3.0201663181218965</v>
      </c>
      <c r="F645" s="304">
        <f t="shared" ref="F645:F708" ca="1" si="300">SQRT(acc_x^2+acc_z^2)</f>
        <v>3.1096265113883672</v>
      </c>
      <c r="G645" s="306">
        <f t="shared" ref="G645:G708" ca="1" si="301">G644+acc_x*pas</f>
        <v>13.443697047097192</v>
      </c>
      <c r="H645" s="307">
        <f t="shared" ref="H645:H708" ca="1" si="302">H644+acc_z*pas</f>
        <v>-123.26605449153364</v>
      </c>
      <c r="I645" s="304">
        <f t="shared" ref="I645:I708" ca="1" si="303">SQRT(vit_x^2+vit_z^2)</f>
        <v>123.9969885932875</v>
      </c>
      <c r="J645" s="306">
        <f t="shared" ref="J645:J708" ca="1" si="304">J644+0.5*(vit_x+G644)*pas*(K644&gt;=0)</f>
        <v>764.67878961306644</v>
      </c>
      <c r="K645" s="307">
        <f t="shared" ref="K645:K708" ca="1" si="305">K644+0.5*(vit_z+H644)*pas</f>
        <v>-5.3072471066186315</v>
      </c>
      <c r="L645" s="304">
        <f t="shared" ca="1" si="290"/>
        <v>764.69720684461447</v>
      </c>
      <c r="M645" s="306">
        <f t="shared" ref="M645:M708" ca="1" si="306">IF(AND(L644&gt;L_rampe,G645&gt;0),ATAN2(G645,H645),$M$4)</f>
        <v>-1.4621632423034361</v>
      </c>
      <c r="N645" s="304">
        <f t="shared" ref="N645:N708" ca="1" si="307">DEGREES(Beta)</f>
        <v>-83.77578274315124</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8.5499999999999989</v>
      </c>
      <c r="T645" s="304">
        <f t="shared" ca="1" si="291"/>
        <v>83.875499999999988</v>
      </c>
      <c r="U645" s="311">
        <f t="shared" ca="1" si="292"/>
        <v>0</v>
      </c>
      <c r="V645" s="306">
        <f t="shared" ca="1" si="293"/>
        <v>1.225650310338444</v>
      </c>
      <c r="W645" s="304">
        <f t="shared" ca="1" si="294"/>
        <v>58.397669590836486</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2.9220751807327074</v>
      </c>
      <c r="AH645" s="304">
        <f t="shared" ref="AH645:AH708" ca="1" si="318">IF(AND(L644&lt;L_rampe,Poussee&lt;Poids*SIN(M644)), g*SIN(M644), (-W644+Poussee)/m)</f>
        <v>-6.830096183713505</v>
      </c>
    </row>
    <row r="646" spans="1:34" x14ac:dyDescent="0.3">
      <c r="A646" s="347">
        <f t="shared" ca="1" si="296"/>
        <v>1E-4</v>
      </c>
      <c r="B646" s="304">
        <f t="shared" ca="1" si="297"/>
        <v>33.113100000000635</v>
      </c>
      <c r="D646" s="306">
        <f t="shared" ca="1" si="298"/>
        <v>-0.74052032145156244</v>
      </c>
      <c r="E646" s="307">
        <f t="shared" ca="1" si="299"/>
        <v>-3.0201253117834845</v>
      </c>
      <c r="F646" s="304">
        <f t="shared" ca="1" si="300"/>
        <v>3.1095863463422293</v>
      </c>
      <c r="G646" s="306">
        <f t="shared" ca="1" si="301"/>
        <v>13.443622995065047</v>
      </c>
      <c r="H646" s="307">
        <f t="shared" ca="1" si="302"/>
        <v>-123.26635650406482</v>
      </c>
      <c r="I646" s="304">
        <f t="shared" ca="1" si="303"/>
        <v>123.99728079688137</v>
      </c>
      <c r="J646" s="306">
        <f t="shared" ca="1" si="304"/>
        <v>764.67878961306644</v>
      </c>
      <c r="K646" s="307">
        <f t="shared" ca="1" si="305"/>
        <v>-5.3195737271684118</v>
      </c>
      <c r="L646" s="304">
        <f t="shared" ca="1" si="290"/>
        <v>764.69729249471197</v>
      </c>
      <c r="M646" s="306">
        <f t="shared" ca="1" si="306"/>
        <v>-1.4621641000607406</v>
      </c>
      <c r="N646" s="304">
        <f t="shared" ca="1" si="307"/>
        <v>-83.77583188902463</v>
      </c>
      <c r="P646" s="310">
        <f t="shared" ca="1" si="308"/>
        <v>23</v>
      </c>
      <c r="Q646" s="304">
        <f t="shared" ca="1" si="309"/>
        <v>0</v>
      </c>
      <c r="R646" s="306">
        <f t="shared" ca="1" si="310"/>
        <v>0</v>
      </c>
      <c r="S646" s="307">
        <f t="shared" ca="1" si="311"/>
        <v>8.5499999999999989</v>
      </c>
      <c r="T646" s="304">
        <f t="shared" ca="1" si="291"/>
        <v>83.875499999999988</v>
      </c>
      <c r="U646" s="311">
        <f t="shared" ca="1" si="292"/>
        <v>0</v>
      </c>
      <c r="V646" s="306">
        <f t="shared" ca="1" si="293"/>
        <v>1.2256518211521119</v>
      </c>
      <c r="W646" s="304">
        <f t="shared" ca="1" si="294"/>
        <v>58.398016808775516</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2.9220354825162529</v>
      </c>
      <c r="AH646" s="304">
        <f t="shared" ca="1" si="318"/>
        <v>-6.8301367942498823</v>
      </c>
    </row>
    <row r="647" spans="1:34" x14ac:dyDescent="0.3">
      <c r="A647" s="347">
        <f t="shared" ca="1" si="296"/>
        <v>1E-4</v>
      </c>
      <c r="B647" s="304">
        <f t="shared" ca="1" si="297"/>
        <v>33.113200000000639</v>
      </c>
      <c r="D647" s="306">
        <f t="shared" ca="1" si="298"/>
        <v>-0.74051890030068979</v>
      </c>
      <c r="E647" s="307">
        <f t="shared" ca="1" si="299"/>
        <v>-3.0200843056986368</v>
      </c>
      <c r="F647" s="304">
        <f t="shared" ca="1" si="300"/>
        <v>3.1095461815560417</v>
      </c>
      <c r="G647" s="306">
        <f t="shared" ca="1" si="301"/>
        <v>13.443548943175017</v>
      </c>
      <c r="H647" s="307">
        <f t="shared" ca="1" si="302"/>
        <v>-123.26665851249538</v>
      </c>
      <c r="I647" s="304">
        <f t="shared" ca="1" si="303"/>
        <v>123.99757299650543</v>
      </c>
      <c r="J647" s="306">
        <f t="shared" ca="1" si="304"/>
        <v>764.67878961306644</v>
      </c>
      <c r="K647" s="307">
        <f t="shared" ca="1" si="305"/>
        <v>-5.33190037791924</v>
      </c>
      <c r="L647" s="304">
        <f t="shared" ca="1" si="290"/>
        <v>764.69737834371074</v>
      </c>
      <c r="M647" s="306">
        <f t="shared" ca="1" si="306"/>
        <v>-1.4621649578092777</v>
      </c>
      <c r="N647" s="304">
        <f t="shared" ca="1" si="307"/>
        <v>-83.775881034395695</v>
      </c>
      <c r="P647" s="310">
        <f t="shared" ca="1" si="308"/>
        <v>23</v>
      </c>
      <c r="Q647" s="304">
        <f t="shared" ca="1" si="309"/>
        <v>0</v>
      </c>
      <c r="R647" s="306">
        <f t="shared" ca="1" si="310"/>
        <v>0</v>
      </c>
      <c r="S647" s="307">
        <f t="shared" ca="1" si="311"/>
        <v>8.5499999999999989</v>
      </c>
      <c r="T647" s="304">
        <f t="shared" ca="1" si="291"/>
        <v>83.875499999999988</v>
      </c>
      <c r="U647" s="311">
        <f t="shared" ca="1" si="292"/>
        <v>0</v>
      </c>
      <c r="V647" s="306">
        <f t="shared" ca="1" si="293"/>
        <v>1.2256533319713443</v>
      </c>
      <c r="W647" s="304">
        <f t="shared" ca="1" si="294"/>
        <v>58.398364024567556</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2.921995784534408</v>
      </c>
      <c r="AH647" s="304">
        <f t="shared" ca="1" si="318"/>
        <v>-6.8301774045351493</v>
      </c>
    </row>
    <row r="648" spans="1:34" x14ac:dyDescent="0.3">
      <c r="A648" s="347">
        <f t="shared" ca="1" si="296"/>
        <v>1E-4</v>
      </c>
      <c r="B648" s="304">
        <f t="shared" ca="1" si="297"/>
        <v>33.113300000000642</v>
      </c>
      <c r="D648" s="306">
        <f t="shared" ca="1" si="298"/>
        <v>-0.74051747911232091</v>
      </c>
      <c r="E648" s="307">
        <f t="shared" ca="1" si="299"/>
        <v>-3.0200432998673552</v>
      </c>
      <c r="F648" s="304">
        <f t="shared" ca="1" si="300"/>
        <v>3.1095060170298066</v>
      </c>
      <c r="G648" s="306">
        <f t="shared" ca="1" si="301"/>
        <v>13.443474891427106</v>
      </c>
      <c r="H648" s="307">
        <f t="shared" ca="1" si="302"/>
        <v>-123.26696051682536</v>
      </c>
      <c r="I648" s="304">
        <f t="shared" ca="1" si="303"/>
        <v>123.99786519215971</v>
      </c>
      <c r="J648" s="306">
        <f t="shared" ca="1" si="304"/>
        <v>764.67878961306644</v>
      </c>
      <c r="K648" s="307">
        <f t="shared" ca="1" si="305"/>
        <v>-5.3442270588707057</v>
      </c>
      <c r="L648" s="304">
        <f t="shared" ca="1" si="290"/>
        <v>764.69746439161224</v>
      </c>
      <c r="M648" s="306">
        <f t="shared" ca="1" si="306"/>
        <v>-1.4621658155490476</v>
      </c>
      <c r="N648" s="304">
        <f t="shared" ca="1" si="307"/>
        <v>-83.775930179264421</v>
      </c>
      <c r="P648" s="310">
        <f t="shared" ca="1" si="308"/>
        <v>23</v>
      </c>
      <c r="Q648" s="304">
        <f t="shared" ca="1" si="309"/>
        <v>0</v>
      </c>
      <c r="R648" s="306">
        <f t="shared" ca="1" si="310"/>
        <v>0</v>
      </c>
      <c r="S648" s="307">
        <f t="shared" ca="1" si="311"/>
        <v>8.5499999999999989</v>
      </c>
      <c r="T648" s="304">
        <f t="shared" ca="1" si="291"/>
        <v>83.875499999999988</v>
      </c>
      <c r="U648" s="311">
        <f t="shared" ca="1" si="292"/>
        <v>0</v>
      </c>
      <c r="V648" s="306">
        <f t="shared" ca="1" si="293"/>
        <v>1.2256548427961413</v>
      </c>
      <c r="W648" s="304">
        <f t="shared" ca="1" si="294"/>
        <v>58.398711238212584</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2.9219560867871737</v>
      </c>
      <c r="AH648" s="304">
        <f t="shared" ca="1" si="318"/>
        <v>-6.8302180145693052</v>
      </c>
    </row>
    <row r="649" spans="1:34" x14ac:dyDescent="0.3">
      <c r="A649" s="347">
        <f t="shared" ca="1" si="296"/>
        <v>1E-4</v>
      </c>
      <c r="B649" s="304">
        <f t="shared" ca="1" si="297"/>
        <v>33.113400000000645</v>
      </c>
      <c r="D649" s="306">
        <f t="shared" ca="1" si="298"/>
        <v>-0.74051605788645603</v>
      </c>
      <c r="E649" s="307">
        <f t="shared" ca="1" si="299"/>
        <v>-3.0200022942896405</v>
      </c>
      <c r="F649" s="304">
        <f t="shared" ca="1" si="300"/>
        <v>3.1094658527635239</v>
      </c>
      <c r="G649" s="306">
        <f t="shared" ca="1" si="301"/>
        <v>13.443400839821319</v>
      </c>
      <c r="H649" s="307">
        <f t="shared" ca="1" si="302"/>
        <v>-123.26726251705479</v>
      </c>
      <c r="I649" s="304">
        <f t="shared" ca="1" si="303"/>
        <v>123.99815738384426</v>
      </c>
      <c r="J649" s="306">
        <f t="shared" ca="1" si="304"/>
        <v>764.67878961306644</v>
      </c>
      <c r="K649" s="307">
        <f t="shared" ca="1" si="305"/>
        <v>-5.3565537700223995</v>
      </c>
      <c r="L649" s="304">
        <f t="shared" ca="1" si="290"/>
        <v>764.69755063841774</v>
      </c>
      <c r="M649" s="306">
        <f t="shared" ca="1" si="306"/>
        <v>-1.4621666732800505</v>
      </c>
      <c r="N649" s="304">
        <f t="shared" ca="1" si="307"/>
        <v>-83.77597932363085</v>
      </c>
      <c r="P649" s="310">
        <f t="shared" ca="1" si="308"/>
        <v>23</v>
      </c>
      <c r="Q649" s="304">
        <f t="shared" ca="1" si="309"/>
        <v>0</v>
      </c>
      <c r="R649" s="306">
        <f t="shared" ca="1" si="310"/>
        <v>0</v>
      </c>
      <c r="S649" s="307">
        <f t="shared" ca="1" si="311"/>
        <v>8.5499999999999989</v>
      </c>
      <c r="T649" s="304">
        <f t="shared" ca="1" si="291"/>
        <v>83.875499999999988</v>
      </c>
      <c r="U649" s="311">
        <f t="shared" ca="1" si="292"/>
        <v>0</v>
      </c>
      <c r="V649" s="306">
        <f t="shared" ca="1" si="293"/>
        <v>1.2256563536265026</v>
      </c>
      <c r="W649" s="304">
        <f t="shared" ca="1" si="294"/>
        <v>58.399058449710594</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2.9219163892745517</v>
      </c>
      <c r="AH649" s="304">
        <f t="shared" ca="1" si="318"/>
        <v>-6.83025862435235</v>
      </c>
    </row>
    <row r="650" spans="1:34" x14ac:dyDescent="0.3">
      <c r="A650" s="347">
        <f t="shared" ca="1" si="296"/>
        <v>1E-4</v>
      </c>
      <c r="B650" s="304">
        <f t="shared" ca="1" si="297"/>
        <v>33.113500000000649</v>
      </c>
      <c r="D650" s="306">
        <f t="shared" ca="1" si="298"/>
        <v>-0.74051463662309513</v>
      </c>
      <c r="E650" s="307">
        <f t="shared" ca="1" si="299"/>
        <v>-3.0199612889654928</v>
      </c>
      <c r="F650" s="304">
        <f t="shared" ca="1" si="300"/>
        <v>3.1094256887571947</v>
      </c>
      <c r="G650" s="306">
        <f t="shared" ca="1" si="301"/>
        <v>13.443326788357657</v>
      </c>
      <c r="H650" s="307">
        <f t="shared" ca="1" si="302"/>
        <v>-123.26756451318369</v>
      </c>
      <c r="I650" s="304">
        <f t="shared" ca="1" si="303"/>
        <v>123.99844957155906</v>
      </c>
      <c r="J650" s="306">
        <f t="shared" ca="1" si="304"/>
        <v>764.67878961306644</v>
      </c>
      <c r="K650" s="307">
        <f t="shared" ca="1" si="305"/>
        <v>-5.3688805113739111</v>
      </c>
      <c r="L650" s="304">
        <f t="shared" ca="1" si="290"/>
        <v>764.69763708412859</v>
      </c>
      <c r="M650" s="306">
        <f t="shared" ca="1" si="306"/>
        <v>-1.4621675310022861</v>
      </c>
      <c r="N650" s="304">
        <f t="shared" ca="1" si="307"/>
        <v>-83.776028467494953</v>
      </c>
      <c r="P650" s="310">
        <f t="shared" ca="1" si="308"/>
        <v>23</v>
      </c>
      <c r="Q650" s="304">
        <f t="shared" ca="1" si="309"/>
        <v>0</v>
      </c>
      <c r="R650" s="306">
        <f t="shared" ca="1" si="310"/>
        <v>0</v>
      </c>
      <c r="S650" s="307">
        <f t="shared" ca="1" si="311"/>
        <v>8.5499999999999989</v>
      </c>
      <c r="T650" s="304">
        <f t="shared" ca="1" si="291"/>
        <v>83.875499999999988</v>
      </c>
      <c r="U650" s="311">
        <f t="shared" ca="1" si="292"/>
        <v>0</v>
      </c>
      <c r="V650" s="306">
        <f t="shared" ca="1" si="293"/>
        <v>1.2256578644624279</v>
      </c>
      <c r="W650" s="304">
        <f t="shared" ca="1" si="294"/>
        <v>58.399405659061543</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2.9218766919965429</v>
      </c>
      <c r="AH650" s="304">
        <f t="shared" ca="1" si="318"/>
        <v>-6.830299233884281</v>
      </c>
    </row>
    <row r="651" spans="1:34" x14ac:dyDescent="0.3">
      <c r="A651" s="347">
        <f t="shared" ca="1" si="296"/>
        <v>1E-4</v>
      </c>
      <c r="B651" s="304">
        <f t="shared" ca="1" si="297"/>
        <v>33.113600000000652</v>
      </c>
      <c r="D651" s="306">
        <f t="shared" ca="1" si="298"/>
        <v>-0.7405132153222409</v>
      </c>
      <c r="E651" s="307">
        <f t="shared" ca="1" si="299"/>
        <v>-3.0199202838949182</v>
      </c>
      <c r="F651" s="304">
        <f t="shared" ca="1" si="300"/>
        <v>3.1093855250108255</v>
      </c>
      <c r="G651" s="306">
        <f t="shared" ca="1" si="301"/>
        <v>13.443252737036126</v>
      </c>
      <c r="H651" s="307">
        <f t="shared" ca="1" si="302"/>
        <v>-123.26786650521207</v>
      </c>
      <c r="I651" s="304">
        <f t="shared" ca="1" si="303"/>
        <v>123.99874175530417</v>
      </c>
      <c r="J651" s="306">
        <f t="shared" ca="1" si="304"/>
        <v>764.67878961306644</v>
      </c>
      <c r="K651" s="307">
        <f t="shared" ca="1" si="305"/>
        <v>-5.381207282924831</v>
      </c>
      <c r="L651" s="304">
        <f t="shared" ca="1" si="290"/>
        <v>764.69772372874638</v>
      </c>
      <c r="M651" s="306">
        <f t="shared" ca="1" si="306"/>
        <v>-1.4621683887157551</v>
      </c>
      <c r="N651" s="304">
        <f t="shared" ca="1" si="307"/>
        <v>-83.776077610856746</v>
      </c>
      <c r="P651" s="310">
        <f t="shared" ca="1" si="308"/>
        <v>23</v>
      </c>
      <c r="Q651" s="304">
        <f t="shared" ca="1" si="309"/>
        <v>0</v>
      </c>
      <c r="R651" s="306">
        <f t="shared" ca="1" si="310"/>
        <v>0</v>
      </c>
      <c r="S651" s="307">
        <f t="shared" ca="1" si="311"/>
        <v>8.5499999999999989</v>
      </c>
      <c r="T651" s="304">
        <f t="shared" ca="1" si="291"/>
        <v>83.875499999999988</v>
      </c>
      <c r="U651" s="311">
        <f t="shared" ca="1" si="292"/>
        <v>0</v>
      </c>
      <c r="V651" s="306">
        <f t="shared" ca="1" si="293"/>
        <v>1.2256593753039178</v>
      </c>
      <c r="W651" s="304">
        <f t="shared" ca="1" si="294"/>
        <v>58.399752866265445</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2.9218369949531553</v>
      </c>
      <c r="AH651" s="304">
        <f t="shared" ca="1" si="318"/>
        <v>-6.8303398431650937</v>
      </c>
    </row>
    <row r="652" spans="1:34" x14ac:dyDescent="0.3">
      <c r="A652" s="347">
        <f t="shared" ca="1" si="296"/>
        <v>1E-4</v>
      </c>
      <c r="B652" s="304">
        <f t="shared" ca="1" si="297"/>
        <v>33.113700000000655</v>
      </c>
      <c r="D652" s="306">
        <f t="shared" ca="1" si="298"/>
        <v>-0.74051179398389233</v>
      </c>
      <c r="E652" s="307">
        <f t="shared" ca="1" si="299"/>
        <v>-3.019879279077915</v>
      </c>
      <c r="F652" s="304">
        <f t="shared" ca="1" si="300"/>
        <v>3.1093453615244142</v>
      </c>
      <c r="G652" s="306">
        <f t="shared" ca="1" si="301"/>
        <v>13.443178685856727</v>
      </c>
      <c r="H652" s="307">
        <f t="shared" ca="1" si="302"/>
        <v>-123.26816849313998</v>
      </c>
      <c r="I652" s="304">
        <f t="shared" ca="1" si="303"/>
        <v>123.99903393507959</v>
      </c>
      <c r="J652" s="306">
        <f t="shared" ca="1" si="304"/>
        <v>764.67878961306644</v>
      </c>
      <c r="K652" s="307">
        <f t="shared" ca="1" si="305"/>
        <v>-5.3935340846747488</v>
      </c>
      <c r="L652" s="304">
        <f t="shared" ca="1" si="290"/>
        <v>764.69781057227226</v>
      </c>
      <c r="M652" s="306">
        <f t="shared" ca="1" si="306"/>
        <v>-1.4621692464204572</v>
      </c>
      <c r="N652" s="304">
        <f t="shared" ca="1" si="307"/>
        <v>-83.776126753716255</v>
      </c>
      <c r="P652" s="310">
        <f t="shared" ca="1" si="308"/>
        <v>23</v>
      </c>
      <c r="Q652" s="304">
        <f t="shared" ca="1" si="309"/>
        <v>0</v>
      </c>
      <c r="R652" s="306">
        <f t="shared" ca="1" si="310"/>
        <v>0</v>
      </c>
      <c r="S652" s="307">
        <f t="shared" ca="1" si="311"/>
        <v>8.5499999999999989</v>
      </c>
      <c r="T652" s="304">
        <f t="shared" ca="1" si="291"/>
        <v>83.875499999999988</v>
      </c>
      <c r="U652" s="311">
        <f t="shared" ca="1" si="292"/>
        <v>0</v>
      </c>
      <c r="V652" s="306">
        <f t="shared" ca="1" si="293"/>
        <v>1.2256608861509721</v>
      </c>
      <c r="W652" s="304">
        <f t="shared" ca="1" si="294"/>
        <v>58.400100071322299</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2.9217972981443836</v>
      </c>
      <c r="AH652" s="304">
        <f t="shared" ca="1" si="318"/>
        <v>-6.83038045219479</v>
      </c>
    </row>
    <row r="653" spans="1:34" x14ac:dyDescent="0.3">
      <c r="A653" s="347">
        <f t="shared" ca="1" si="296"/>
        <v>1E-4</v>
      </c>
      <c r="B653" s="304">
        <f t="shared" ca="1" si="297"/>
        <v>33.113800000000658</v>
      </c>
      <c r="D653" s="306">
        <f t="shared" ca="1" si="298"/>
        <v>-0.74051037260805108</v>
      </c>
      <c r="E653" s="307">
        <f t="shared" ca="1" si="299"/>
        <v>-3.0198382745144841</v>
      </c>
      <c r="F653" s="304">
        <f t="shared" ca="1" si="300"/>
        <v>3.1093051982979625</v>
      </c>
      <c r="G653" s="306">
        <f t="shared" ca="1" si="301"/>
        <v>13.443104634819466</v>
      </c>
      <c r="H653" s="307">
        <f t="shared" ca="1" si="302"/>
        <v>-123.26847047696744</v>
      </c>
      <c r="I653" s="304">
        <f t="shared" ca="1" si="303"/>
        <v>123.99932611088536</v>
      </c>
      <c r="J653" s="306">
        <f t="shared" ca="1" si="304"/>
        <v>764.67878961306644</v>
      </c>
      <c r="K653" s="307">
        <f t="shared" ca="1" si="305"/>
        <v>-5.4058609166232543</v>
      </c>
      <c r="L653" s="304">
        <f t="shared" ca="1" si="290"/>
        <v>764.69789761470781</v>
      </c>
      <c r="M653" s="306">
        <f t="shared" ca="1" si="306"/>
        <v>-1.462170104116393</v>
      </c>
      <c r="N653" s="304">
        <f t="shared" ca="1" si="307"/>
        <v>-83.776175896073482</v>
      </c>
      <c r="P653" s="310">
        <f t="shared" ca="1" si="308"/>
        <v>23</v>
      </c>
      <c r="Q653" s="304">
        <f t="shared" ca="1" si="309"/>
        <v>0</v>
      </c>
      <c r="R653" s="306">
        <f t="shared" ca="1" si="310"/>
        <v>0</v>
      </c>
      <c r="S653" s="307">
        <f t="shared" ca="1" si="311"/>
        <v>8.5499999999999989</v>
      </c>
      <c r="T653" s="304">
        <f t="shared" ca="1" si="291"/>
        <v>83.875499999999988</v>
      </c>
      <c r="U653" s="311">
        <f t="shared" ca="1" si="292"/>
        <v>0</v>
      </c>
      <c r="V653" s="306">
        <f t="shared" ca="1" si="293"/>
        <v>1.2256623970035903</v>
      </c>
      <c r="W653" s="304">
        <f t="shared" ca="1" si="294"/>
        <v>58.40044727423205</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2.9217576015702322</v>
      </c>
      <c r="AH653" s="304">
        <f t="shared" ca="1" si="318"/>
        <v>-6.8304210609733689</v>
      </c>
    </row>
    <row r="654" spans="1:34" x14ac:dyDescent="0.3">
      <c r="A654" s="347">
        <f t="shared" ca="1" si="296"/>
        <v>1E-4</v>
      </c>
      <c r="B654" s="304">
        <f t="shared" ca="1" si="297"/>
        <v>33.113900000000662</v>
      </c>
      <c r="D654" s="306">
        <f t="shared" ca="1" si="298"/>
        <v>-0.74050895119471505</v>
      </c>
      <c r="E654" s="307">
        <f t="shared" ca="1" si="299"/>
        <v>-3.0197972702046298</v>
      </c>
      <c r="F654" s="304">
        <f t="shared" ca="1" si="300"/>
        <v>3.1092650353314739</v>
      </c>
      <c r="G654" s="306">
        <f t="shared" ca="1" si="301"/>
        <v>13.443030583924347</v>
      </c>
      <c r="H654" s="307">
        <f t="shared" ca="1" si="302"/>
        <v>-123.26877245669446</v>
      </c>
      <c r="I654" s="304">
        <f t="shared" ca="1" si="303"/>
        <v>123.9996182827215</v>
      </c>
      <c r="J654" s="306">
        <f t="shared" ca="1" si="304"/>
        <v>764.67878961306644</v>
      </c>
      <c r="K654" s="307">
        <f t="shared" ca="1" si="305"/>
        <v>-5.4181877787699371</v>
      </c>
      <c r="L654" s="304">
        <f t="shared" ca="1" si="290"/>
        <v>764.6979848560544</v>
      </c>
      <c r="M654" s="306">
        <f t="shared" ca="1" si="306"/>
        <v>-1.4621709618035621</v>
      </c>
      <c r="N654" s="304">
        <f t="shared" ca="1" si="307"/>
        <v>-83.776225037928413</v>
      </c>
      <c r="P654" s="310">
        <f t="shared" ca="1" si="308"/>
        <v>23</v>
      </c>
      <c r="Q654" s="304">
        <f t="shared" ca="1" si="309"/>
        <v>0</v>
      </c>
      <c r="R654" s="306">
        <f t="shared" ca="1" si="310"/>
        <v>0</v>
      </c>
      <c r="S654" s="307">
        <f t="shared" ca="1" si="311"/>
        <v>8.5499999999999989</v>
      </c>
      <c r="T654" s="304">
        <f t="shared" ca="1" si="291"/>
        <v>83.875499999999988</v>
      </c>
      <c r="U654" s="311">
        <f t="shared" ca="1" si="292"/>
        <v>0</v>
      </c>
      <c r="V654" s="306">
        <f t="shared" ca="1" si="293"/>
        <v>1.2256639078617726</v>
      </c>
      <c r="W654" s="304">
        <f t="shared" ca="1" si="294"/>
        <v>58.400794474994704</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2.9217179052307065</v>
      </c>
      <c r="AH654" s="304">
        <f t="shared" ca="1" si="318"/>
        <v>-6.8304616695008251</v>
      </c>
    </row>
    <row r="655" spans="1:34" x14ac:dyDescent="0.3">
      <c r="A655" s="347">
        <f t="shared" ca="1" si="296"/>
        <v>1E-4</v>
      </c>
      <c r="B655" s="304">
        <f t="shared" ca="1" si="297"/>
        <v>33.114000000000665</v>
      </c>
      <c r="D655" s="306">
        <f t="shared" ca="1" si="298"/>
        <v>-0.74050752974388934</v>
      </c>
      <c r="E655" s="307">
        <f t="shared" ca="1" si="299"/>
        <v>-3.0197562661483532</v>
      </c>
      <c r="F655" s="304">
        <f t="shared" ca="1" si="300"/>
        <v>3.1092248726249507</v>
      </c>
      <c r="G655" s="306">
        <f t="shared" ca="1" si="301"/>
        <v>13.442956533171373</v>
      </c>
      <c r="H655" s="307">
        <f t="shared" ca="1" si="302"/>
        <v>-123.26907443232108</v>
      </c>
      <c r="I655" s="304">
        <f t="shared" ca="1" si="303"/>
        <v>123.99991045058802</v>
      </c>
      <c r="J655" s="306">
        <f t="shared" ca="1" si="304"/>
        <v>764.67878961306644</v>
      </c>
      <c r="K655" s="307">
        <f t="shared" ca="1" si="305"/>
        <v>-5.4305146711143877</v>
      </c>
      <c r="L655" s="304">
        <f t="shared" ca="1" si="290"/>
        <v>764.69807229631328</v>
      </c>
      <c r="M655" s="306">
        <f t="shared" ca="1" si="306"/>
        <v>-1.4621718194819651</v>
      </c>
      <c r="N655" s="304">
        <f t="shared" ca="1" si="307"/>
        <v>-83.776274179281074</v>
      </c>
      <c r="P655" s="310">
        <f t="shared" ca="1" si="308"/>
        <v>23</v>
      </c>
      <c r="Q655" s="304">
        <f t="shared" ca="1" si="309"/>
        <v>0</v>
      </c>
      <c r="R655" s="306">
        <f t="shared" ca="1" si="310"/>
        <v>0</v>
      </c>
      <c r="S655" s="307">
        <f t="shared" ca="1" si="311"/>
        <v>8.5499999999999989</v>
      </c>
      <c r="T655" s="304">
        <f t="shared" ca="1" si="291"/>
        <v>83.875499999999988</v>
      </c>
      <c r="U655" s="311">
        <f t="shared" ca="1" si="292"/>
        <v>0</v>
      </c>
      <c r="V655" s="306">
        <f t="shared" ca="1" si="293"/>
        <v>1.2256654187255194</v>
      </c>
      <c r="W655" s="304">
        <f t="shared" ca="1" si="294"/>
        <v>58.401141673610262</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2.9216782091258038</v>
      </c>
      <c r="AH655" s="304">
        <f t="shared" ca="1" si="318"/>
        <v>-6.8305022777771596</v>
      </c>
    </row>
    <row r="656" spans="1:34" x14ac:dyDescent="0.3">
      <c r="A656" s="347">
        <f t="shared" ca="1" si="296"/>
        <v>1E-4</v>
      </c>
      <c r="B656" s="304">
        <f t="shared" ca="1" si="297"/>
        <v>33.114100000000668</v>
      </c>
      <c r="D656" s="306">
        <f t="shared" ca="1" si="298"/>
        <v>-0.74050610825557062</v>
      </c>
      <c r="E656" s="307">
        <f t="shared" ca="1" si="299"/>
        <v>-3.0197152623456534</v>
      </c>
      <c r="F656" s="304">
        <f t="shared" ca="1" si="300"/>
        <v>3.1091847101783916</v>
      </c>
      <c r="G656" s="306">
        <f t="shared" ca="1" si="301"/>
        <v>13.442882482560547</v>
      </c>
      <c r="H656" s="307">
        <f t="shared" ca="1" si="302"/>
        <v>-123.26937640384732</v>
      </c>
      <c r="I656" s="304">
        <f t="shared" ca="1" si="303"/>
        <v>124.00020261448496</v>
      </c>
      <c r="J656" s="306">
        <f t="shared" ca="1" si="304"/>
        <v>764.67878961306644</v>
      </c>
      <c r="K656" s="307">
        <f t="shared" ca="1" si="305"/>
        <v>-5.4428415936561958</v>
      </c>
      <c r="L656" s="304">
        <f t="shared" ca="1" si="290"/>
        <v>764.69815993548593</v>
      </c>
      <c r="M656" s="306">
        <f t="shared" ca="1" si="306"/>
        <v>-1.4621726771516017</v>
      </c>
      <c r="N656" s="304">
        <f t="shared" ca="1" si="307"/>
        <v>-83.776323320131468</v>
      </c>
      <c r="P656" s="310">
        <f t="shared" ca="1" si="308"/>
        <v>23</v>
      </c>
      <c r="Q656" s="304">
        <f t="shared" ca="1" si="309"/>
        <v>0</v>
      </c>
      <c r="R656" s="306">
        <f t="shared" ca="1" si="310"/>
        <v>0</v>
      </c>
      <c r="S656" s="307">
        <f t="shared" ca="1" si="311"/>
        <v>8.5499999999999989</v>
      </c>
      <c r="T656" s="304">
        <f t="shared" ca="1" si="291"/>
        <v>83.875499999999988</v>
      </c>
      <c r="U656" s="311">
        <f t="shared" ca="1" si="292"/>
        <v>0</v>
      </c>
      <c r="V656" s="306">
        <f t="shared" ca="1" si="293"/>
        <v>1.2256669295948299</v>
      </c>
      <c r="W656" s="304">
        <f t="shared" ca="1" si="294"/>
        <v>58.401488870078694</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2.9216385132555276</v>
      </c>
      <c r="AH656" s="304">
        <f t="shared" ca="1" si="318"/>
        <v>-6.8305428858023705</v>
      </c>
    </row>
    <row r="657" spans="1:34" x14ac:dyDescent="0.3">
      <c r="A657" s="347">
        <f t="shared" ca="1" si="296"/>
        <v>1E-4</v>
      </c>
      <c r="B657" s="304">
        <f t="shared" ca="1" si="297"/>
        <v>33.114200000000672</v>
      </c>
      <c r="D657" s="306">
        <f t="shared" ca="1" si="298"/>
        <v>-0.74050468672976222</v>
      </c>
      <c r="E657" s="307">
        <f t="shared" ca="1" si="299"/>
        <v>-3.0196742587965346</v>
      </c>
      <c r="F657" s="304">
        <f t="shared" ca="1" si="300"/>
        <v>3.1091445479918014</v>
      </c>
      <c r="G657" s="306">
        <f t="shared" ca="1" si="301"/>
        <v>13.442808432091875</v>
      </c>
      <c r="H657" s="307">
        <f t="shared" ca="1" si="302"/>
        <v>-123.2696783712732</v>
      </c>
      <c r="I657" s="304">
        <f t="shared" ca="1" si="303"/>
        <v>124.00049477441233</v>
      </c>
      <c r="J657" s="306">
        <f t="shared" ca="1" si="304"/>
        <v>764.67878961306644</v>
      </c>
      <c r="K657" s="307">
        <f t="shared" ca="1" si="305"/>
        <v>-5.455168546394952</v>
      </c>
      <c r="L657" s="304">
        <f t="shared" ca="1" si="290"/>
        <v>764.69824777357371</v>
      </c>
      <c r="M657" s="306">
        <f t="shared" ca="1" si="306"/>
        <v>-1.4621735348124725</v>
      </c>
      <c r="N657" s="304">
        <f t="shared" ca="1" si="307"/>
        <v>-83.776372460479621</v>
      </c>
      <c r="P657" s="310">
        <f t="shared" ca="1" si="308"/>
        <v>23</v>
      </c>
      <c r="Q657" s="304">
        <f t="shared" ca="1" si="309"/>
        <v>0</v>
      </c>
      <c r="R657" s="306">
        <f t="shared" ca="1" si="310"/>
        <v>0</v>
      </c>
      <c r="S657" s="307">
        <f t="shared" ca="1" si="311"/>
        <v>8.5499999999999989</v>
      </c>
      <c r="T657" s="304">
        <f t="shared" ca="1" si="291"/>
        <v>83.875499999999988</v>
      </c>
      <c r="U657" s="311">
        <f t="shared" ca="1" si="292"/>
        <v>0</v>
      </c>
      <c r="V657" s="306">
        <f t="shared" ca="1" si="293"/>
        <v>1.2256684404697049</v>
      </c>
      <c r="W657" s="304">
        <f t="shared" ca="1" si="294"/>
        <v>58.401836064400001</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2.9215988176198815</v>
      </c>
      <c r="AH657" s="304">
        <f t="shared" ca="1" si="318"/>
        <v>-6.830583493576456</v>
      </c>
    </row>
    <row r="658" spans="1:34" x14ac:dyDescent="0.3">
      <c r="A658" s="347">
        <f t="shared" ca="1" si="296"/>
        <v>1E-4</v>
      </c>
      <c r="B658" s="304">
        <f t="shared" ca="1" si="297"/>
        <v>33.114300000000675</v>
      </c>
      <c r="D658" s="306">
        <f t="shared" ca="1" si="298"/>
        <v>-0.7405032651664627</v>
      </c>
      <c r="E658" s="307">
        <f t="shared" ca="1" si="299"/>
        <v>-3.0196332555009953</v>
      </c>
      <c r="F658" s="304">
        <f t="shared" ca="1" si="300"/>
        <v>3.1091043860651788</v>
      </c>
      <c r="G658" s="306">
        <f t="shared" ca="1" si="301"/>
        <v>13.442734381765359</v>
      </c>
      <c r="H658" s="307">
        <f t="shared" ca="1" si="302"/>
        <v>-123.26998033459876</v>
      </c>
      <c r="I658" s="304">
        <f t="shared" ca="1" si="303"/>
        <v>124.00078693037017</v>
      </c>
      <c r="J658" s="306">
        <f t="shared" ca="1" si="304"/>
        <v>764.67878961306644</v>
      </c>
      <c r="K658" s="307">
        <f t="shared" ca="1" si="305"/>
        <v>-5.4674955293302459</v>
      </c>
      <c r="L658" s="304">
        <f t="shared" ca="1" si="290"/>
        <v>764.6983358105781</v>
      </c>
      <c r="M658" s="306">
        <f t="shared" ca="1" si="306"/>
        <v>-1.4621743924645774</v>
      </c>
      <c r="N658" s="304">
        <f t="shared" ca="1" si="307"/>
        <v>-83.77642160032552</v>
      </c>
      <c r="P658" s="310">
        <f t="shared" ca="1" si="308"/>
        <v>23</v>
      </c>
      <c r="Q658" s="304">
        <f t="shared" ca="1" si="309"/>
        <v>0</v>
      </c>
      <c r="R658" s="306">
        <f t="shared" ca="1" si="310"/>
        <v>0</v>
      </c>
      <c r="S658" s="307">
        <f t="shared" ca="1" si="311"/>
        <v>8.5499999999999989</v>
      </c>
      <c r="T658" s="304">
        <f t="shared" ca="1" si="291"/>
        <v>83.875499999999988</v>
      </c>
      <c r="U658" s="311">
        <f t="shared" ca="1" si="292"/>
        <v>0</v>
      </c>
      <c r="V658" s="306">
        <f t="shared" ca="1" si="293"/>
        <v>1.2256699513501437</v>
      </c>
      <c r="W658" s="304">
        <f t="shared" ca="1" si="294"/>
        <v>58.402183256574141</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2.9215591222188637</v>
      </c>
      <c r="AH658" s="304">
        <f t="shared" ca="1" si="318"/>
        <v>-6.8306241010994162</v>
      </c>
    </row>
    <row r="659" spans="1:34" x14ac:dyDescent="0.3">
      <c r="A659" s="347">
        <f t="shared" ca="1" si="296"/>
        <v>1E-4</v>
      </c>
      <c r="B659" s="304">
        <f t="shared" ca="1" si="297"/>
        <v>33.114400000000678</v>
      </c>
      <c r="D659" s="306">
        <f t="shared" ca="1" si="298"/>
        <v>-0.74050184356567328</v>
      </c>
      <c r="E659" s="307">
        <f t="shared" ca="1" si="299"/>
        <v>-3.0195922524590415</v>
      </c>
      <c r="F659" s="304">
        <f t="shared" ca="1" si="300"/>
        <v>3.1090642243985291</v>
      </c>
      <c r="G659" s="306">
        <f t="shared" ca="1" si="301"/>
        <v>13.442660331581003</v>
      </c>
      <c r="H659" s="307">
        <f t="shared" ca="1" si="302"/>
        <v>-123.270282293824</v>
      </c>
      <c r="I659" s="304">
        <f t="shared" ca="1" si="303"/>
        <v>124.00107908235846</v>
      </c>
      <c r="J659" s="306">
        <f t="shared" ca="1" si="304"/>
        <v>764.67878961306644</v>
      </c>
      <c r="K659" s="307">
        <f t="shared" ca="1" si="305"/>
        <v>-5.4798225424616671</v>
      </c>
      <c r="L659" s="304">
        <f t="shared" ca="1" si="290"/>
        <v>764.69842404650035</v>
      </c>
      <c r="M659" s="306">
        <f t="shared" ca="1" si="306"/>
        <v>-1.4621752501079164</v>
      </c>
      <c r="N659" s="304">
        <f t="shared" ca="1" si="307"/>
        <v>-83.776470739669179</v>
      </c>
      <c r="P659" s="310">
        <f t="shared" ca="1" si="308"/>
        <v>23</v>
      </c>
      <c r="Q659" s="304">
        <f t="shared" ca="1" si="309"/>
        <v>0</v>
      </c>
      <c r="R659" s="306">
        <f t="shared" ca="1" si="310"/>
        <v>0</v>
      </c>
      <c r="S659" s="307">
        <f t="shared" ca="1" si="311"/>
        <v>8.5499999999999989</v>
      </c>
      <c r="T659" s="304">
        <f t="shared" ca="1" si="291"/>
        <v>83.875499999999988</v>
      </c>
      <c r="U659" s="311">
        <f t="shared" ca="1" si="292"/>
        <v>0</v>
      </c>
      <c r="V659" s="306">
        <f t="shared" ca="1" si="293"/>
        <v>1.2256714622361464</v>
      </c>
      <c r="W659" s="304">
        <f t="shared" ca="1" si="294"/>
        <v>58.402530446601098</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2.9215194270524831</v>
      </c>
      <c r="AH659" s="304">
        <f t="shared" ca="1" si="318"/>
        <v>-6.8306647083712457</v>
      </c>
    </row>
    <row r="660" spans="1:34" x14ac:dyDescent="0.3">
      <c r="A660" s="347">
        <f t="shared" ca="1" si="296"/>
        <v>1E-4</v>
      </c>
      <c r="B660" s="304">
        <f t="shared" ca="1" si="297"/>
        <v>33.114500000000682</v>
      </c>
      <c r="D660" s="306">
        <f t="shared" ca="1" si="298"/>
        <v>-0.74050042192739529</v>
      </c>
      <c r="E660" s="307">
        <f t="shared" ca="1" si="299"/>
        <v>-3.019551249670676</v>
      </c>
      <c r="F660" s="304">
        <f t="shared" ca="1" si="300"/>
        <v>3.1090240629918569</v>
      </c>
      <c r="G660" s="306">
        <f t="shared" ca="1" si="301"/>
        <v>13.44258628153881</v>
      </c>
      <c r="H660" s="307">
        <f t="shared" ca="1" si="302"/>
        <v>-123.27058424894896</v>
      </c>
      <c r="I660" s="304">
        <f t="shared" ca="1" si="303"/>
        <v>124.00137123037729</v>
      </c>
      <c r="J660" s="306">
        <f t="shared" ca="1" si="304"/>
        <v>764.67878961306644</v>
      </c>
      <c r="K660" s="307">
        <f t="shared" ca="1" si="305"/>
        <v>-5.4921495857888054</v>
      </c>
      <c r="L660" s="304">
        <f t="shared" ca="1" si="290"/>
        <v>764.69851248134194</v>
      </c>
      <c r="M660" s="306">
        <f t="shared" ca="1" si="306"/>
        <v>-1.4621761077424897</v>
      </c>
      <c r="N660" s="304">
        <f t="shared" ca="1" si="307"/>
        <v>-83.776519878510598</v>
      </c>
      <c r="P660" s="310">
        <f t="shared" ca="1" si="308"/>
        <v>23</v>
      </c>
      <c r="Q660" s="304">
        <f t="shared" ca="1" si="309"/>
        <v>0</v>
      </c>
      <c r="R660" s="306">
        <f t="shared" ca="1" si="310"/>
        <v>0</v>
      </c>
      <c r="S660" s="307">
        <f t="shared" ca="1" si="311"/>
        <v>8.5499999999999989</v>
      </c>
      <c r="T660" s="304">
        <f t="shared" ca="1" si="291"/>
        <v>83.875499999999988</v>
      </c>
      <c r="U660" s="311">
        <f t="shared" ca="1" si="292"/>
        <v>0</v>
      </c>
      <c r="V660" s="306">
        <f t="shared" ca="1" si="293"/>
        <v>1.2256729731277136</v>
      </c>
      <c r="W660" s="304">
        <f t="shared" ca="1" si="294"/>
        <v>58.402877634480937</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2.9214797321207371</v>
      </c>
      <c r="AH660" s="304">
        <f t="shared" ca="1" si="318"/>
        <v>-6.8307053153919419</v>
      </c>
    </row>
    <row r="661" spans="1:34" x14ac:dyDescent="0.3">
      <c r="A661" s="347">
        <f t="shared" ca="1" si="296"/>
        <v>1E-4</v>
      </c>
      <c r="B661" s="304">
        <f t="shared" ca="1" si="297"/>
        <v>33.114600000000685</v>
      </c>
      <c r="D661" s="306">
        <f t="shared" ca="1" si="298"/>
        <v>-0.74049900025162985</v>
      </c>
      <c r="E661" s="307">
        <f t="shared" ca="1" si="299"/>
        <v>-3.0195102471358899</v>
      </c>
      <c r="F661" s="304">
        <f t="shared" ca="1" si="300"/>
        <v>3.1089839018451522</v>
      </c>
      <c r="G661" s="306">
        <f t="shared" ca="1" si="301"/>
        <v>13.442512231638785</v>
      </c>
      <c r="H661" s="307">
        <f t="shared" ca="1" si="302"/>
        <v>-123.27088619997367</v>
      </c>
      <c r="I661" s="304">
        <f t="shared" ca="1" si="303"/>
        <v>124.00166337442663</v>
      </c>
      <c r="J661" s="306">
        <f t="shared" ca="1" si="304"/>
        <v>764.67878961306644</v>
      </c>
      <c r="K661" s="307">
        <f t="shared" ca="1" si="305"/>
        <v>-5.5044766593112513</v>
      </c>
      <c r="L661" s="304">
        <f t="shared" ca="1" si="290"/>
        <v>764.69860111510422</v>
      </c>
      <c r="M661" s="306">
        <f t="shared" ca="1" si="306"/>
        <v>-1.4621769653682979</v>
      </c>
      <c r="N661" s="304">
        <f t="shared" ca="1" si="307"/>
        <v>-83.776569016849805</v>
      </c>
      <c r="P661" s="310">
        <f t="shared" ca="1" si="308"/>
        <v>23</v>
      </c>
      <c r="Q661" s="304">
        <f t="shared" ca="1" si="309"/>
        <v>0</v>
      </c>
      <c r="R661" s="306">
        <f t="shared" ca="1" si="310"/>
        <v>0</v>
      </c>
      <c r="S661" s="307">
        <f t="shared" ca="1" si="311"/>
        <v>8.5499999999999989</v>
      </c>
      <c r="T661" s="304">
        <f t="shared" ca="1" si="291"/>
        <v>83.875499999999988</v>
      </c>
      <c r="U661" s="311">
        <f t="shared" ca="1" si="292"/>
        <v>0</v>
      </c>
      <c r="V661" s="306">
        <f t="shared" ca="1" si="293"/>
        <v>1.2256744840248446</v>
      </c>
      <c r="W661" s="304">
        <f t="shared" ca="1" si="294"/>
        <v>58.403224820213545</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2.9214400374236202</v>
      </c>
      <c r="AH661" s="304">
        <f t="shared" ca="1" si="318"/>
        <v>-6.8307459221615137</v>
      </c>
    </row>
    <row r="662" spans="1:34" x14ac:dyDescent="0.3">
      <c r="A662" s="347">
        <f t="shared" ca="1" si="296"/>
        <v>1E-4</v>
      </c>
      <c r="B662" s="304">
        <f t="shared" ca="1" si="297"/>
        <v>33.114700000000688</v>
      </c>
      <c r="D662" s="306">
        <f t="shared" ca="1" si="298"/>
        <v>-0.74049757853837439</v>
      </c>
      <c r="E662" s="307">
        <f t="shared" ca="1" si="299"/>
        <v>-3.0194692448546965</v>
      </c>
      <c r="F662" s="304">
        <f t="shared" ca="1" si="300"/>
        <v>3.1089437409584284</v>
      </c>
      <c r="G662" s="306">
        <f t="shared" ca="1" si="301"/>
        <v>13.442438181880931</v>
      </c>
      <c r="H662" s="307">
        <f t="shared" ca="1" si="302"/>
        <v>-123.27118814689815</v>
      </c>
      <c r="I662" s="304">
        <f t="shared" ca="1" si="303"/>
        <v>124.00195551450652</v>
      </c>
      <c r="J662" s="306">
        <f t="shared" ca="1" si="304"/>
        <v>764.67878961306644</v>
      </c>
      <c r="K662" s="307">
        <f t="shared" ca="1" si="305"/>
        <v>-5.5168037630285953</v>
      </c>
      <c r="L662" s="304">
        <f t="shared" ca="1" si="290"/>
        <v>764.69868994778858</v>
      </c>
      <c r="M662" s="306">
        <f t="shared" ca="1" si="306"/>
        <v>-1.4621778229853404</v>
      </c>
      <c r="N662" s="304">
        <f t="shared" ca="1" si="307"/>
        <v>-83.776618154686773</v>
      </c>
      <c r="P662" s="310">
        <f t="shared" ca="1" si="308"/>
        <v>23</v>
      </c>
      <c r="Q662" s="304">
        <f t="shared" ca="1" si="309"/>
        <v>0</v>
      </c>
      <c r="R662" s="306">
        <f t="shared" ca="1" si="310"/>
        <v>0</v>
      </c>
      <c r="S662" s="307">
        <f t="shared" ca="1" si="311"/>
        <v>8.5499999999999989</v>
      </c>
      <c r="T662" s="304">
        <f t="shared" ca="1" si="291"/>
        <v>83.875499999999988</v>
      </c>
      <c r="U662" s="311">
        <f t="shared" ca="1" si="292"/>
        <v>0</v>
      </c>
      <c r="V662" s="306">
        <f t="shared" ca="1" si="293"/>
        <v>1.2256759949275391</v>
      </c>
      <c r="W662" s="304">
        <f t="shared" ca="1" si="294"/>
        <v>58.403572003798942</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2.9214003429611477</v>
      </c>
      <c r="AH662" s="304">
        <f t="shared" ca="1" si="318"/>
        <v>-6.8307865286799476</v>
      </c>
    </row>
    <row r="663" spans="1:34" x14ac:dyDescent="0.3">
      <c r="A663" s="347">
        <f t="shared" ca="1" si="296"/>
        <v>1E-4</v>
      </c>
      <c r="B663" s="304">
        <f t="shared" ca="1" si="297"/>
        <v>33.114800000000692</v>
      </c>
      <c r="D663" s="306">
        <f t="shared" ca="1" si="298"/>
        <v>-0.74049615678763381</v>
      </c>
      <c r="E663" s="307">
        <f t="shared" ca="1" si="299"/>
        <v>-3.019428242827094</v>
      </c>
      <c r="F663" s="304">
        <f t="shared" ca="1" si="300"/>
        <v>3.1089035803316847</v>
      </c>
      <c r="G663" s="306">
        <f t="shared" ca="1" si="301"/>
        <v>13.442364132265253</v>
      </c>
      <c r="H663" s="307">
        <f t="shared" ca="1" si="302"/>
        <v>-123.27149008972243</v>
      </c>
      <c r="I663" s="304">
        <f t="shared" ca="1" si="303"/>
        <v>124.00224765061699</v>
      </c>
      <c r="J663" s="306">
        <f t="shared" ca="1" si="304"/>
        <v>764.67878961306644</v>
      </c>
      <c r="K663" s="307">
        <f t="shared" ca="1" si="305"/>
        <v>-5.5291308969404263</v>
      </c>
      <c r="L663" s="304">
        <f t="shared" ca="1" si="290"/>
        <v>764.69877897939648</v>
      </c>
      <c r="M663" s="306">
        <f t="shared" ca="1" si="306"/>
        <v>-1.4621786805936179</v>
      </c>
      <c r="N663" s="304">
        <f t="shared" ca="1" si="307"/>
        <v>-83.776667292021557</v>
      </c>
      <c r="P663" s="310">
        <f t="shared" ca="1" si="308"/>
        <v>23</v>
      </c>
      <c r="Q663" s="304">
        <f t="shared" ca="1" si="309"/>
        <v>0</v>
      </c>
      <c r="R663" s="306">
        <f t="shared" ca="1" si="310"/>
        <v>0</v>
      </c>
      <c r="S663" s="307">
        <f t="shared" ca="1" si="311"/>
        <v>8.5499999999999989</v>
      </c>
      <c r="T663" s="304">
        <f t="shared" ca="1" si="291"/>
        <v>83.875499999999988</v>
      </c>
      <c r="U663" s="311">
        <f t="shared" ca="1" si="292"/>
        <v>0</v>
      </c>
      <c r="V663" s="306">
        <f t="shared" ca="1" si="293"/>
        <v>1.2256775058357976</v>
      </c>
      <c r="W663" s="304">
        <f t="shared" ca="1" si="294"/>
        <v>58.403919185237129</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2.9213606487333141</v>
      </c>
      <c r="AH663" s="304">
        <f t="shared" ca="1" si="318"/>
        <v>-6.8308271349472456</v>
      </c>
    </row>
    <row r="664" spans="1:34" x14ac:dyDescent="0.3">
      <c r="A664" s="347">
        <f t="shared" ca="1" si="296"/>
        <v>1E-4</v>
      </c>
      <c r="B664" s="304">
        <f t="shared" ca="1" si="297"/>
        <v>33.114900000000695</v>
      </c>
      <c r="D664" s="306">
        <f t="shared" ca="1" si="298"/>
        <v>-0.7404947349994051</v>
      </c>
      <c r="E664" s="307">
        <f t="shared" ca="1" si="299"/>
        <v>-3.0193872410530815</v>
      </c>
      <c r="F664" s="304">
        <f t="shared" ca="1" si="300"/>
        <v>3.1088634199649201</v>
      </c>
      <c r="G664" s="306">
        <f t="shared" ca="1" si="301"/>
        <v>13.442290082791752</v>
      </c>
      <c r="H664" s="307">
        <f t="shared" ca="1" si="302"/>
        <v>-123.27179202844654</v>
      </c>
      <c r="I664" s="304">
        <f t="shared" ca="1" si="303"/>
        <v>124.00253978275806</v>
      </c>
      <c r="J664" s="306">
        <f t="shared" ca="1" si="304"/>
        <v>764.67878961306644</v>
      </c>
      <c r="K664" s="307">
        <f t="shared" ca="1" si="305"/>
        <v>-5.5414580610463346</v>
      </c>
      <c r="L664" s="304">
        <f t="shared" ca="1" si="290"/>
        <v>764.69886820992917</v>
      </c>
      <c r="M664" s="306">
        <f t="shared" ca="1" si="306"/>
        <v>-1.4621795381931302</v>
      </c>
      <c r="N664" s="304">
        <f t="shared" ca="1" si="307"/>
        <v>-83.776716428854115</v>
      </c>
      <c r="P664" s="310">
        <f t="shared" ca="1" si="308"/>
        <v>23</v>
      </c>
      <c r="Q664" s="304">
        <f t="shared" ca="1" si="309"/>
        <v>0</v>
      </c>
      <c r="R664" s="306">
        <f t="shared" ca="1" si="310"/>
        <v>0</v>
      </c>
      <c r="S664" s="307">
        <f t="shared" ca="1" si="311"/>
        <v>8.5499999999999989</v>
      </c>
      <c r="T664" s="304">
        <f t="shared" ca="1" si="291"/>
        <v>83.875499999999988</v>
      </c>
      <c r="U664" s="311">
        <f t="shared" ca="1" si="292"/>
        <v>0</v>
      </c>
      <c r="V664" s="306">
        <f t="shared" ca="1" si="293"/>
        <v>1.2256790167496201</v>
      </c>
      <c r="W664" s="304">
        <f t="shared" ca="1" si="294"/>
        <v>58.404266364528084</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2.9213209547401249</v>
      </c>
      <c r="AH664" s="304">
        <f t="shared" ca="1" si="318"/>
        <v>-6.8308677409634075</v>
      </c>
    </row>
    <row r="665" spans="1:34" x14ac:dyDescent="0.3">
      <c r="A665" s="347">
        <f t="shared" ca="1" si="296"/>
        <v>1E-4</v>
      </c>
      <c r="B665" s="304">
        <f t="shared" ca="1" si="297"/>
        <v>33.115000000000698</v>
      </c>
      <c r="D665" s="306">
        <f t="shared" ca="1" si="298"/>
        <v>-0.7404933131736916</v>
      </c>
      <c r="E665" s="307">
        <f t="shared" ca="1" si="299"/>
        <v>-3.0193462395326618</v>
      </c>
      <c r="F665" s="304">
        <f t="shared" ca="1" si="300"/>
        <v>3.1088232598581373</v>
      </c>
      <c r="G665" s="306">
        <f t="shared" ca="1" si="301"/>
        <v>13.442216033460435</v>
      </c>
      <c r="H665" s="307">
        <f t="shared" ca="1" si="302"/>
        <v>-123.27209396307049</v>
      </c>
      <c r="I665" s="304">
        <f t="shared" ca="1" si="303"/>
        <v>124.00283191092976</v>
      </c>
      <c r="J665" s="306">
        <f t="shared" ca="1" si="304"/>
        <v>764.67878961306644</v>
      </c>
      <c r="K665" s="307">
        <f t="shared" ca="1" si="305"/>
        <v>-5.5537852553459102</v>
      </c>
      <c r="L665" s="304">
        <f t="shared" ca="1" si="290"/>
        <v>764.69895763938825</v>
      </c>
      <c r="M665" s="306">
        <f t="shared" ca="1" si="306"/>
        <v>-1.4621803957838777</v>
      </c>
      <c r="N665" s="304">
        <f t="shared" ca="1" si="307"/>
        <v>-83.776765565184505</v>
      </c>
      <c r="P665" s="310">
        <f t="shared" ca="1" si="308"/>
        <v>23</v>
      </c>
      <c r="Q665" s="304">
        <f t="shared" ca="1" si="309"/>
        <v>0</v>
      </c>
      <c r="R665" s="306">
        <f t="shared" ca="1" si="310"/>
        <v>0</v>
      </c>
      <c r="S665" s="307">
        <f t="shared" ca="1" si="311"/>
        <v>8.5499999999999989</v>
      </c>
      <c r="T665" s="304">
        <f t="shared" ca="1" si="291"/>
        <v>83.875499999999988</v>
      </c>
      <c r="U665" s="311">
        <f t="shared" ca="1" si="292"/>
        <v>0</v>
      </c>
      <c r="V665" s="306">
        <f t="shared" ca="1" si="293"/>
        <v>1.2256805276690068</v>
      </c>
      <c r="W665" s="304">
        <f t="shared" ca="1" si="294"/>
        <v>58.404613541671814</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2.9212812609815799</v>
      </c>
      <c r="AH665" s="304">
        <f t="shared" ca="1" si="318"/>
        <v>-6.8309083467284317</v>
      </c>
    </row>
    <row r="666" spans="1:34" x14ac:dyDescent="0.3">
      <c r="A666" s="347">
        <f t="shared" ca="1" si="296"/>
        <v>1E-4</v>
      </c>
      <c r="B666" s="304">
        <f t="shared" ca="1" si="297"/>
        <v>33.115100000000702</v>
      </c>
      <c r="D666" s="306">
        <f t="shared" ca="1" si="298"/>
        <v>-0.74049189131049165</v>
      </c>
      <c r="E666" s="307">
        <f t="shared" ca="1" si="299"/>
        <v>-3.0193052382658347</v>
      </c>
      <c r="F666" s="304">
        <f t="shared" ca="1" si="300"/>
        <v>3.1087831000113368</v>
      </c>
      <c r="G666" s="306">
        <f t="shared" ca="1" si="301"/>
        <v>13.442141984271304</v>
      </c>
      <c r="H666" s="307">
        <f t="shared" ca="1" si="302"/>
        <v>-123.27239589359432</v>
      </c>
      <c r="I666" s="304">
        <f t="shared" ca="1" si="303"/>
        <v>124.0031240351321</v>
      </c>
      <c r="J666" s="306">
        <f t="shared" ca="1" si="304"/>
        <v>764.67878961306644</v>
      </c>
      <c r="K666" s="307">
        <f t="shared" ca="1" si="305"/>
        <v>-5.5661124798387434</v>
      </c>
      <c r="L666" s="304">
        <f t="shared" ca="1" si="290"/>
        <v>764.69904726777486</v>
      </c>
      <c r="M666" s="306">
        <f t="shared" ca="1" si="306"/>
        <v>-1.4621812533658602</v>
      </c>
      <c r="N666" s="304">
        <f t="shared" ca="1" si="307"/>
        <v>-83.776814701012682</v>
      </c>
      <c r="P666" s="310">
        <f t="shared" ca="1" si="308"/>
        <v>23</v>
      </c>
      <c r="Q666" s="304">
        <f t="shared" ca="1" si="309"/>
        <v>0</v>
      </c>
      <c r="R666" s="306">
        <f t="shared" ca="1" si="310"/>
        <v>0</v>
      </c>
      <c r="S666" s="307">
        <f t="shared" ca="1" si="311"/>
        <v>8.5499999999999989</v>
      </c>
      <c r="T666" s="304">
        <f t="shared" ca="1" si="291"/>
        <v>83.875499999999988</v>
      </c>
      <c r="U666" s="311">
        <f t="shared" ca="1" si="292"/>
        <v>0</v>
      </c>
      <c r="V666" s="306">
        <f t="shared" ca="1" si="293"/>
        <v>1.2256820385939569</v>
      </c>
      <c r="W666" s="304">
        <f t="shared" ca="1" si="294"/>
        <v>58.404960716668263</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2.9212415674576793</v>
      </c>
      <c r="AH666" s="304">
        <f t="shared" ca="1" si="318"/>
        <v>-6.8309489522423181</v>
      </c>
    </row>
    <row r="667" spans="1:34" x14ac:dyDescent="0.3">
      <c r="A667" s="347">
        <f t="shared" ca="1" si="296"/>
        <v>1E-4</v>
      </c>
      <c r="B667" s="304">
        <f t="shared" ca="1" si="297"/>
        <v>33.115200000000705</v>
      </c>
      <c r="D667" s="306">
        <f t="shared" ca="1" si="298"/>
        <v>-0.74049046940980812</v>
      </c>
      <c r="E667" s="307">
        <f t="shared" ca="1" si="299"/>
        <v>-3.0192642372526066</v>
      </c>
      <c r="F667" s="304">
        <f t="shared" ca="1" si="300"/>
        <v>3.1087429404245248</v>
      </c>
      <c r="G667" s="306">
        <f t="shared" ca="1" si="301"/>
        <v>13.442067935224363</v>
      </c>
      <c r="H667" s="307">
        <f t="shared" ca="1" si="302"/>
        <v>-123.27269782001805</v>
      </c>
      <c r="I667" s="304">
        <f t="shared" ca="1" si="303"/>
        <v>124.00341615536514</v>
      </c>
      <c r="J667" s="306">
        <f t="shared" ca="1" si="304"/>
        <v>764.67878961306644</v>
      </c>
      <c r="K667" s="307">
        <f t="shared" ca="1" si="305"/>
        <v>-5.5784397345244239</v>
      </c>
      <c r="L667" s="304">
        <f t="shared" ca="1" si="290"/>
        <v>764.69913709509046</v>
      </c>
      <c r="M667" s="306">
        <f t="shared" ca="1" si="306"/>
        <v>-1.4621821109390782</v>
      </c>
      <c r="N667" s="304">
        <f t="shared" ca="1" si="307"/>
        <v>-83.776863836338705</v>
      </c>
      <c r="P667" s="310">
        <f t="shared" ca="1" si="308"/>
        <v>23</v>
      </c>
      <c r="Q667" s="304">
        <f t="shared" ca="1" si="309"/>
        <v>0</v>
      </c>
      <c r="R667" s="306">
        <f t="shared" ca="1" si="310"/>
        <v>0</v>
      </c>
      <c r="S667" s="307">
        <f t="shared" ca="1" si="311"/>
        <v>8.5499999999999989</v>
      </c>
      <c r="T667" s="304">
        <f t="shared" ca="1" si="291"/>
        <v>83.875499999999988</v>
      </c>
      <c r="U667" s="311">
        <f t="shared" ca="1" si="292"/>
        <v>0</v>
      </c>
      <c r="V667" s="306">
        <f t="shared" ca="1" si="293"/>
        <v>1.2256835495244705</v>
      </c>
      <c r="W667" s="304">
        <f t="shared" ca="1" si="294"/>
        <v>58.405307889517474</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2.9212018741684291</v>
      </c>
      <c r="AH667" s="304">
        <f t="shared" ca="1" si="318"/>
        <v>-6.8309895575050605</v>
      </c>
    </row>
    <row r="668" spans="1:34" x14ac:dyDescent="0.3">
      <c r="A668" s="347">
        <f t="shared" ca="1" si="296"/>
        <v>1E-4</v>
      </c>
      <c r="B668" s="304">
        <f t="shared" ca="1" si="297"/>
        <v>33.115300000000708</v>
      </c>
      <c r="D668" s="306">
        <f t="shared" ca="1" si="298"/>
        <v>-0.74048904747164002</v>
      </c>
      <c r="E668" s="307">
        <f t="shared" ca="1" si="299"/>
        <v>-3.0192232364929721</v>
      </c>
      <c r="F668" s="304">
        <f t="shared" ca="1" si="300"/>
        <v>3.1087027810976968</v>
      </c>
      <c r="G668" s="306">
        <f t="shared" ca="1" si="301"/>
        <v>13.441993886319617</v>
      </c>
      <c r="H668" s="307">
        <f t="shared" ca="1" si="302"/>
        <v>-123.2729997423417</v>
      </c>
      <c r="I668" s="304">
        <f t="shared" ca="1" si="303"/>
        <v>124.00370827162884</v>
      </c>
      <c r="J668" s="306">
        <f t="shared" ca="1" si="304"/>
        <v>764.67878961306644</v>
      </c>
      <c r="K668" s="307">
        <f t="shared" ca="1" si="305"/>
        <v>-5.5907670194025423</v>
      </c>
      <c r="L668" s="304">
        <f t="shared" ca="1" si="290"/>
        <v>764.69922712133666</v>
      </c>
      <c r="M668" s="306">
        <f t="shared" ca="1" si="306"/>
        <v>-1.4621829685035317</v>
      </c>
      <c r="N668" s="304">
        <f t="shared" ca="1" si="307"/>
        <v>-83.776912971162545</v>
      </c>
      <c r="P668" s="310">
        <f t="shared" ca="1" si="308"/>
        <v>23</v>
      </c>
      <c r="Q668" s="304">
        <f t="shared" ca="1" si="309"/>
        <v>0</v>
      </c>
      <c r="R668" s="306">
        <f t="shared" ca="1" si="310"/>
        <v>0</v>
      </c>
      <c r="S668" s="307">
        <f t="shared" ca="1" si="311"/>
        <v>8.5499999999999989</v>
      </c>
      <c r="T668" s="304">
        <f t="shared" ca="1" si="291"/>
        <v>83.875499999999988</v>
      </c>
      <c r="U668" s="311">
        <f t="shared" ca="1" si="292"/>
        <v>0</v>
      </c>
      <c r="V668" s="306">
        <f t="shared" ca="1" si="293"/>
        <v>1.2256850604605485</v>
      </c>
      <c r="W668" s="304">
        <f t="shared" ca="1" si="294"/>
        <v>58.405655060219381</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2.9211621811138242</v>
      </c>
      <c r="AH668" s="304">
        <f t="shared" ca="1" si="318"/>
        <v>-6.8310301625166643</v>
      </c>
    </row>
    <row r="669" spans="1:34" x14ac:dyDescent="0.3">
      <c r="A669" s="347">
        <f t="shared" ca="1" si="296"/>
        <v>1E-4</v>
      </c>
      <c r="B669" s="304">
        <f t="shared" ca="1" si="297"/>
        <v>33.115400000000712</v>
      </c>
      <c r="D669" s="306">
        <f t="shared" ca="1" si="298"/>
        <v>-0.74048762549598857</v>
      </c>
      <c r="E669" s="307">
        <f t="shared" ca="1" si="299"/>
        <v>-3.0191822359869391</v>
      </c>
      <c r="F669" s="304">
        <f t="shared" ca="1" si="300"/>
        <v>3.10866262203086</v>
      </c>
      <c r="G669" s="306">
        <f t="shared" ca="1" si="301"/>
        <v>13.441919837557068</v>
      </c>
      <c r="H669" s="307">
        <f t="shared" ca="1" si="302"/>
        <v>-123.27330166056529</v>
      </c>
      <c r="I669" s="304">
        <f t="shared" ca="1" si="303"/>
        <v>124.00400038392327</v>
      </c>
      <c r="J669" s="306">
        <f t="shared" ca="1" si="304"/>
        <v>764.67878961306644</v>
      </c>
      <c r="K669" s="307">
        <f t="shared" ca="1" si="305"/>
        <v>-5.6030943344726873</v>
      </c>
      <c r="L669" s="304">
        <f t="shared" ca="1" si="290"/>
        <v>764.69931734651448</v>
      </c>
      <c r="M669" s="306">
        <f t="shared" ca="1" si="306"/>
        <v>-1.4621838260592208</v>
      </c>
      <c r="N669" s="304">
        <f t="shared" ca="1" si="307"/>
        <v>-83.77696210548423</v>
      </c>
      <c r="P669" s="310">
        <f t="shared" ca="1" si="308"/>
        <v>23</v>
      </c>
      <c r="Q669" s="304">
        <f t="shared" ca="1" si="309"/>
        <v>0</v>
      </c>
      <c r="R669" s="306">
        <f t="shared" ca="1" si="310"/>
        <v>0</v>
      </c>
      <c r="S669" s="307">
        <f t="shared" ca="1" si="311"/>
        <v>8.5499999999999989</v>
      </c>
      <c r="T669" s="304">
        <f t="shared" ca="1" si="291"/>
        <v>83.875499999999988</v>
      </c>
      <c r="U669" s="311">
        <f t="shared" ca="1" si="292"/>
        <v>0</v>
      </c>
      <c r="V669" s="306">
        <f t="shared" ca="1" si="293"/>
        <v>1.2256865714021898</v>
      </c>
      <c r="W669" s="304">
        <f t="shared" ca="1" si="294"/>
        <v>58.406002228773993</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2.9211224882938742</v>
      </c>
      <c r="AH669" s="304">
        <f t="shared" ca="1" si="318"/>
        <v>-6.8310707672771214</v>
      </c>
    </row>
    <row r="670" spans="1:34" x14ac:dyDescent="0.3">
      <c r="A670" s="347">
        <f t="shared" ca="1" si="296"/>
        <v>1E-4</v>
      </c>
      <c r="B670" s="304">
        <f t="shared" ca="1" si="297"/>
        <v>33.115500000000715</v>
      </c>
      <c r="D670" s="306">
        <f t="shared" ca="1" si="298"/>
        <v>-0.74048620348285366</v>
      </c>
      <c r="E670" s="307">
        <f t="shared" ca="1" si="299"/>
        <v>-3.0191412357345069</v>
      </c>
      <c r="F670" s="304">
        <f t="shared" ca="1" si="300"/>
        <v>3.1086224632240138</v>
      </c>
      <c r="G670" s="306">
        <f t="shared" ca="1" si="301"/>
        <v>13.441845788936719</v>
      </c>
      <c r="H670" s="307">
        <f t="shared" ca="1" si="302"/>
        <v>-123.27360357468886</v>
      </c>
      <c r="I670" s="304">
        <f t="shared" ca="1" si="303"/>
        <v>124.00429249224842</v>
      </c>
      <c r="J670" s="306">
        <f t="shared" ca="1" si="304"/>
        <v>764.67878961306644</v>
      </c>
      <c r="K670" s="307">
        <f t="shared" ca="1" si="305"/>
        <v>-5.6154216797344496</v>
      </c>
      <c r="L670" s="304">
        <f t="shared" ca="1" si="290"/>
        <v>764.69940777062561</v>
      </c>
      <c r="M670" s="306">
        <f t="shared" ca="1" si="306"/>
        <v>-1.4621846836061456</v>
      </c>
      <c r="N670" s="304">
        <f t="shared" ca="1" si="307"/>
        <v>-83.777011239303761</v>
      </c>
      <c r="P670" s="310">
        <f t="shared" ca="1" si="308"/>
        <v>23</v>
      </c>
      <c r="Q670" s="304">
        <f t="shared" ca="1" si="309"/>
        <v>0</v>
      </c>
      <c r="R670" s="306">
        <f t="shared" ca="1" si="310"/>
        <v>0</v>
      </c>
      <c r="S670" s="307">
        <f t="shared" ca="1" si="311"/>
        <v>8.5499999999999989</v>
      </c>
      <c r="T670" s="304">
        <f t="shared" ca="1" si="291"/>
        <v>83.875499999999988</v>
      </c>
      <c r="U670" s="311">
        <f t="shared" ca="1" si="292"/>
        <v>0</v>
      </c>
      <c r="V670" s="306">
        <f t="shared" ca="1" si="293"/>
        <v>1.2256880823493945</v>
      </c>
      <c r="W670" s="304">
        <f t="shared" ca="1" si="294"/>
        <v>58.406349395181259</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2.9210827957085783</v>
      </c>
      <c r="AH670" s="304">
        <f t="shared" ca="1" si="318"/>
        <v>-6.8311113717864327</v>
      </c>
    </row>
    <row r="671" spans="1:34" x14ac:dyDescent="0.3">
      <c r="A671" s="347">
        <f t="shared" ca="1" si="296"/>
        <v>1E-4</v>
      </c>
      <c r="B671" s="304">
        <f t="shared" ca="1" si="297"/>
        <v>33.115600000000718</v>
      </c>
      <c r="D671" s="306">
        <f t="shared" ca="1" si="298"/>
        <v>-0.74048478143223662</v>
      </c>
      <c r="E671" s="307">
        <f t="shared" ca="1" si="299"/>
        <v>-3.0191002357356806</v>
      </c>
      <c r="F671" s="304">
        <f t="shared" ca="1" si="300"/>
        <v>3.1085823046771641</v>
      </c>
      <c r="G671" s="306">
        <f t="shared" ca="1" si="301"/>
        <v>13.441771740458575</v>
      </c>
      <c r="H671" s="307">
        <f t="shared" ca="1" si="302"/>
        <v>-123.27390548471244</v>
      </c>
      <c r="I671" s="304">
        <f t="shared" ca="1" si="303"/>
        <v>124.00458459660436</v>
      </c>
      <c r="J671" s="306">
        <f t="shared" ca="1" si="304"/>
        <v>764.67878961306644</v>
      </c>
      <c r="K671" s="307">
        <f t="shared" ca="1" si="305"/>
        <v>-5.6277490551874196</v>
      </c>
      <c r="L671" s="304">
        <f t="shared" ca="1" si="290"/>
        <v>764.69949839367132</v>
      </c>
      <c r="M671" s="306">
        <f t="shared" ca="1" si="306"/>
        <v>-1.4621855411443063</v>
      </c>
      <c r="N671" s="304">
        <f t="shared" ca="1" si="307"/>
        <v>-83.777060372621136</v>
      </c>
      <c r="P671" s="310">
        <f t="shared" ca="1" si="308"/>
        <v>23</v>
      </c>
      <c r="Q671" s="304">
        <f t="shared" ca="1" si="309"/>
        <v>0</v>
      </c>
      <c r="R671" s="306">
        <f t="shared" ca="1" si="310"/>
        <v>0</v>
      </c>
      <c r="S671" s="307">
        <f t="shared" ca="1" si="311"/>
        <v>8.5499999999999989</v>
      </c>
      <c r="T671" s="304">
        <f t="shared" ca="1" si="291"/>
        <v>83.875499999999988</v>
      </c>
      <c r="U671" s="311">
        <f t="shared" ca="1" si="292"/>
        <v>0</v>
      </c>
      <c r="V671" s="306">
        <f t="shared" ca="1" si="293"/>
        <v>1.2256895933021632</v>
      </c>
      <c r="W671" s="304">
        <f t="shared" ca="1" si="294"/>
        <v>58.40669655944123</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2.9210431033579418</v>
      </c>
      <c r="AH671" s="304">
        <f t="shared" ca="1" si="318"/>
        <v>-6.8311519760445929</v>
      </c>
    </row>
    <row r="672" spans="1:34" x14ac:dyDescent="0.3">
      <c r="A672" s="347">
        <f t="shared" ca="1" si="296"/>
        <v>1E-4</v>
      </c>
      <c r="B672" s="304">
        <f t="shared" ca="1" si="297"/>
        <v>33.115700000000722</v>
      </c>
      <c r="D672" s="306">
        <f t="shared" ca="1" si="298"/>
        <v>-0.74048335934413811</v>
      </c>
      <c r="E672" s="307">
        <f t="shared" ca="1" si="299"/>
        <v>-3.0190592359904551</v>
      </c>
      <c r="F672" s="304">
        <f t="shared" ca="1" si="300"/>
        <v>3.108542146390306</v>
      </c>
      <c r="G672" s="306">
        <f t="shared" ca="1" si="301"/>
        <v>13.441697692122641</v>
      </c>
      <c r="H672" s="307">
        <f t="shared" ca="1" si="302"/>
        <v>-123.27420739063604</v>
      </c>
      <c r="I672" s="304">
        <f t="shared" ca="1" si="303"/>
        <v>124.00487669699108</v>
      </c>
      <c r="J672" s="306">
        <f t="shared" ca="1" si="304"/>
        <v>764.67878961306644</v>
      </c>
      <c r="K672" s="307">
        <f t="shared" ca="1" si="305"/>
        <v>-5.6400764608311871</v>
      </c>
      <c r="L672" s="304">
        <f t="shared" ca="1" si="290"/>
        <v>764.69958921565296</v>
      </c>
      <c r="M672" s="306">
        <f t="shared" ca="1" si="306"/>
        <v>-1.4621863986737029</v>
      </c>
      <c r="N672" s="304">
        <f t="shared" ca="1" si="307"/>
        <v>-83.777109505436371</v>
      </c>
      <c r="P672" s="310">
        <f t="shared" ca="1" si="308"/>
        <v>23</v>
      </c>
      <c r="Q672" s="304">
        <f t="shared" ca="1" si="309"/>
        <v>0</v>
      </c>
      <c r="R672" s="306">
        <f t="shared" ca="1" si="310"/>
        <v>0</v>
      </c>
      <c r="S672" s="307">
        <f t="shared" ca="1" si="311"/>
        <v>8.5499999999999989</v>
      </c>
      <c r="T672" s="304">
        <f t="shared" ca="1" si="291"/>
        <v>83.875499999999988</v>
      </c>
      <c r="U672" s="311">
        <f t="shared" ca="1" si="292"/>
        <v>0</v>
      </c>
      <c r="V672" s="306">
        <f t="shared" ca="1" si="293"/>
        <v>1.2256911042604954</v>
      </c>
      <c r="W672" s="304">
        <f t="shared" ca="1" si="294"/>
        <v>58.407043721553855</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2.9210034112419603</v>
      </c>
      <c r="AH672" s="304">
        <f t="shared" ca="1" si="318"/>
        <v>-6.8311925800516065</v>
      </c>
    </row>
    <row r="673" spans="1:34" x14ac:dyDescent="0.3">
      <c r="A673" s="347">
        <f t="shared" ca="1" si="296"/>
        <v>1E-4</v>
      </c>
      <c r="B673" s="304">
        <f t="shared" ca="1" si="297"/>
        <v>33.115800000000725</v>
      </c>
      <c r="D673" s="306">
        <f t="shared" ca="1" si="298"/>
        <v>-0.74048193721855948</v>
      </c>
      <c r="E673" s="307">
        <f t="shared" ca="1" si="299"/>
        <v>-3.0190182364988365</v>
      </c>
      <c r="F673" s="304">
        <f t="shared" ca="1" si="300"/>
        <v>3.1085019883634457</v>
      </c>
      <c r="G673" s="306">
        <f t="shared" ca="1" si="301"/>
        <v>13.441623643928919</v>
      </c>
      <c r="H673" s="307">
        <f t="shared" ca="1" si="302"/>
        <v>-123.27450929245968</v>
      </c>
      <c r="I673" s="304">
        <f t="shared" ca="1" si="303"/>
        <v>124.0051687934086</v>
      </c>
      <c r="J673" s="306">
        <f t="shared" ca="1" si="304"/>
        <v>764.67878961306644</v>
      </c>
      <c r="K673" s="307">
        <f t="shared" ca="1" si="305"/>
        <v>-5.6524038966653416</v>
      </c>
      <c r="L673" s="304">
        <f t="shared" ca="1" si="290"/>
        <v>764.69968023657191</v>
      </c>
      <c r="M673" s="306">
        <f t="shared" ca="1" si="306"/>
        <v>-1.4621872561943359</v>
      </c>
      <c r="N673" s="304">
        <f t="shared" ca="1" si="307"/>
        <v>-83.77715863774948</v>
      </c>
      <c r="P673" s="310">
        <f t="shared" ca="1" si="308"/>
        <v>23</v>
      </c>
      <c r="Q673" s="304">
        <f t="shared" ca="1" si="309"/>
        <v>0</v>
      </c>
      <c r="R673" s="306">
        <f t="shared" ca="1" si="310"/>
        <v>0</v>
      </c>
      <c r="S673" s="307">
        <f t="shared" ca="1" si="311"/>
        <v>8.5499999999999989</v>
      </c>
      <c r="T673" s="304">
        <f t="shared" ca="1" si="291"/>
        <v>83.875499999999988</v>
      </c>
      <c r="U673" s="311">
        <f t="shared" ca="1" si="292"/>
        <v>0</v>
      </c>
      <c r="V673" s="306">
        <f t="shared" ca="1" si="293"/>
        <v>1.225692615224391</v>
      </c>
      <c r="W673" s="304">
        <f t="shared" ca="1" si="294"/>
        <v>58.407390881519106</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2.9209637193606399</v>
      </c>
      <c r="AH673" s="304">
        <f t="shared" ca="1" si="318"/>
        <v>-6.8312331838074689</v>
      </c>
    </row>
    <row r="674" spans="1:34" x14ac:dyDescent="0.3">
      <c r="A674" s="347">
        <f t="shared" ca="1" si="296"/>
        <v>1E-4</v>
      </c>
      <c r="B674" s="304">
        <f t="shared" ca="1" si="297"/>
        <v>33.115900000000728</v>
      </c>
      <c r="D674" s="306">
        <f t="shared" ca="1" si="298"/>
        <v>-0.74048051505549883</v>
      </c>
      <c r="E674" s="307">
        <f t="shared" ca="1" si="299"/>
        <v>-3.0189772372608266</v>
      </c>
      <c r="F674" s="304">
        <f t="shared" ca="1" si="300"/>
        <v>3.1084618305965845</v>
      </c>
      <c r="G674" s="306">
        <f t="shared" ca="1" si="301"/>
        <v>13.441549595877413</v>
      </c>
      <c r="H674" s="307">
        <f t="shared" ca="1" si="302"/>
        <v>-123.27481119018341</v>
      </c>
      <c r="I674" s="304">
        <f t="shared" ca="1" si="303"/>
        <v>124.00546088585696</v>
      </c>
      <c r="J674" s="306">
        <f t="shared" ca="1" si="304"/>
        <v>764.67878961306644</v>
      </c>
      <c r="K674" s="307">
        <f t="shared" ca="1" si="305"/>
        <v>-5.6647313626894737</v>
      </c>
      <c r="L674" s="304">
        <f t="shared" ca="1" si="290"/>
        <v>764.69977145642963</v>
      </c>
      <c r="M674" s="306">
        <f t="shared" ca="1" si="306"/>
        <v>-1.4621881137062052</v>
      </c>
      <c r="N674" s="304">
        <f t="shared" ca="1" si="307"/>
        <v>-83.777207769560476</v>
      </c>
      <c r="P674" s="310">
        <f t="shared" ca="1" si="308"/>
        <v>23</v>
      </c>
      <c r="Q674" s="304">
        <f t="shared" ca="1" si="309"/>
        <v>0</v>
      </c>
      <c r="R674" s="306">
        <f t="shared" ca="1" si="310"/>
        <v>0</v>
      </c>
      <c r="S674" s="307">
        <f t="shared" ca="1" si="311"/>
        <v>8.5499999999999989</v>
      </c>
      <c r="T674" s="304">
        <f t="shared" ca="1" si="291"/>
        <v>83.875499999999988</v>
      </c>
      <c r="U674" s="311">
        <f t="shared" ca="1" si="292"/>
        <v>0</v>
      </c>
      <c r="V674" s="306">
        <f t="shared" ca="1" si="293"/>
        <v>1.2256941261938505</v>
      </c>
      <c r="W674" s="304">
        <f t="shared" ca="1" si="294"/>
        <v>58.407738039337019</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2.9209240277139825</v>
      </c>
      <c r="AH674" s="304">
        <f t="shared" ca="1" si="318"/>
        <v>-6.8312737873121767</v>
      </c>
    </row>
    <row r="675" spans="1:34" x14ac:dyDescent="0.3">
      <c r="A675" s="347">
        <f t="shared" ca="1" si="296"/>
        <v>1E-4</v>
      </c>
      <c r="B675" s="304">
        <f t="shared" ca="1" si="297"/>
        <v>33.116000000000732</v>
      </c>
      <c r="D675" s="306">
        <f t="shared" ca="1" si="298"/>
        <v>-0.7404790928549585</v>
      </c>
      <c r="E675" s="307">
        <f t="shared" ca="1" si="299"/>
        <v>-3.0189362382764227</v>
      </c>
      <c r="F675" s="304">
        <f t="shared" ca="1" si="300"/>
        <v>3.1084216730897207</v>
      </c>
      <c r="G675" s="306">
        <f t="shared" ca="1" si="301"/>
        <v>13.441475547968128</v>
      </c>
      <c r="H675" s="307">
        <f t="shared" ca="1" si="302"/>
        <v>-123.27511308380724</v>
      </c>
      <c r="I675" s="304">
        <f t="shared" ca="1" si="303"/>
        <v>124.00575297433619</v>
      </c>
      <c r="J675" s="306">
        <f t="shared" ca="1" si="304"/>
        <v>764.67878961306644</v>
      </c>
      <c r="K675" s="307">
        <f t="shared" ca="1" si="305"/>
        <v>-5.6770588589031732</v>
      </c>
      <c r="L675" s="304">
        <f t="shared" ca="1" si="290"/>
        <v>764.6998628752275</v>
      </c>
      <c r="M675" s="306">
        <f t="shared" ca="1" si="306"/>
        <v>-1.4621889712093108</v>
      </c>
      <c r="N675" s="304">
        <f t="shared" ca="1" si="307"/>
        <v>-83.777256900869347</v>
      </c>
      <c r="P675" s="310">
        <f t="shared" ca="1" si="308"/>
        <v>23</v>
      </c>
      <c r="Q675" s="304">
        <f t="shared" ca="1" si="309"/>
        <v>0</v>
      </c>
      <c r="R675" s="306">
        <f t="shared" ca="1" si="310"/>
        <v>0</v>
      </c>
      <c r="S675" s="307">
        <f t="shared" ca="1" si="311"/>
        <v>8.5499999999999989</v>
      </c>
      <c r="T675" s="304">
        <f t="shared" ca="1" si="291"/>
        <v>83.875499999999988</v>
      </c>
      <c r="U675" s="311">
        <f t="shared" ca="1" si="292"/>
        <v>0</v>
      </c>
      <c r="V675" s="306">
        <f t="shared" ca="1" si="293"/>
        <v>1.2256956371688732</v>
      </c>
      <c r="W675" s="304">
        <f t="shared" ca="1" si="294"/>
        <v>58.408085195007551</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2.9208843363019854</v>
      </c>
      <c r="AH675" s="304">
        <f t="shared" ca="1" si="318"/>
        <v>-6.8313143905657343</v>
      </c>
    </row>
    <row r="676" spans="1:34" x14ac:dyDescent="0.3">
      <c r="A676" s="347">
        <f t="shared" ca="1" si="296"/>
        <v>1E-4</v>
      </c>
      <c r="B676" s="304">
        <f t="shared" ca="1" si="297"/>
        <v>33.116100000000735</v>
      </c>
      <c r="D676" s="306">
        <f t="shared" ca="1" si="298"/>
        <v>-0.74047767061693948</v>
      </c>
      <c r="E676" s="307">
        <f t="shared" ca="1" si="299"/>
        <v>-3.0188952395456301</v>
      </c>
      <c r="F676" s="304">
        <f t="shared" ca="1" si="300"/>
        <v>3.10838151584286</v>
      </c>
      <c r="G676" s="306">
        <f t="shared" ca="1" si="301"/>
        <v>13.441401500201067</v>
      </c>
      <c r="H676" s="307">
        <f t="shared" ca="1" si="302"/>
        <v>-123.27541497333119</v>
      </c>
      <c r="I676" s="304">
        <f t="shared" ca="1" si="303"/>
        <v>124.00604505884628</v>
      </c>
      <c r="J676" s="306">
        <f t="shared" ca="1" si="304"/>
        <v>764.67878961306644</v>
      </c>
      <c r="K676" s="307">
        <f t="shared" ca="1" si="305"/>
        <v>-5.6893863853060305</v>
      </c>
      <c r="L676" s="304">
        <f t="shared" ca="1" si="290"/>
        <v>764.69995449296687</v>
      </c>
      <c r="M676" s="306">
        <f t="shared" ca="1" si="306"/>
        <v>-1.462189828703653</v>
      </c>
      <c r="N676" s="304">
        <f t="shared" ca="1" si="307"/>
        <v>-83.777306031676119</v>
      </c>
      <c r="P676" s="310">
        <f t="shared" ca="1" si="308"/>
        <v>23</v>
      </c>
      <c r="Q676" s="304">
        <f t="shared" ca="1" si="309"/>
        <v>0</v>
      </c>
      <c r="R676" s="306">
        <f t="shared" ca="1" si="310"/>
        <v>0</v>
      </c>
      <c r="S676" s="307">
        <f t="shared" ca="1" si="311"/>
        <v>8.5499999999999989</v>
      </c>
      <c r="T676" s="304">
        <f t="shared" ca="1" si="291"/>
        <v>83.875499999999988</v>
      </c>
      <c r="U676" s="311">
        <f t="shared" ca="1" si="292"/>
        <v>0</v>
      </c>
      <c r="V676" s="306">
        <f t="shared" ca="1" si="293"/>
        <v>1.2256971481494598</v>
      </c>
      <c r="W676" s="304">
        <f t="shared" ca="1" si="294"/>
        <v>58.408432348530695</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2.9208446451246566</v>
      </c>
      <c r="AH676" s="304">
        <f t="shared" ca="1" si="318"/>
        <v>-6.8313549935681355</v>
      </c>
    </row>
    <row r="677" spans="1:34" x14ac:dyDescent="0.3">
      <c r="A677" s="347">
        <f t="shared" ca="1" si="296"/>
        <v>1E-4</v>
      </c>
      <c r="B677" s="304">
        <f t="shared" ca="1" si="297"/>
        <v>33.116200000000738</v>
      </c>
      <c r="D677" s="306">
        <f t="shared" ca="1" si="298"/>
        <v>-0.7404762483414421</v>
      </c>
      <c r="E677" s="307">
        <f t="shared" ca="1" si="299"/>
        <v>-3.0188542410684489</v>
      </c>
      <c r="F677" s="304">
        <f t="shared" ca="1" si="300"/>
        <v>3.108341358856002</v>
      </c>
      <c r="G677" s="306">
        <f t="shared" ca="1" si="301"/>
        <v>13.441327452576234</v>
      </c>
      <c r="H677" s="307">
        <f t="shared" ca="1" si="302"/>
        <v>-123.2757168587553</v>
      </c>
      <c r="I677" s="304">
        <f t="shared" ca="1" si="303"/>
        <v>124.0063371393873</v>
      </c>
      <c r="J677" s="306">
        <f t="shared" ca="1" si="304"/>
        <v>764.67878961306644</v>
      </c>
      <c r="K677" s="307">
        <f t="shared" ca="1" si="305"/>
        <v>-5.7017139418976344</v>
      </c>
      <c r="L677" s="304">
        <f t="shared" ca="1" si="290"/>
        <v>764.70004630964911</v>
      </c>
      <c r="M677" s="306">
        <f t="shared" ca="1" si="306"/>
        <v>-1.462190686189232</v>
      </c>
      <c r="N677" s="304">
        <f t="shared" ca="1" si="307"/>
        <v>-83.777355161980779</v>
      </c>
      <c r="P677" s="310">
        <f t="shared" ca="1" si="308"/>
        <v>23</v>
      </c>
      <c r="Q677" s="304">
        <f t="shared" ca="1" si="309"/>
        <v>0</v>
      </c>
      <c r="R677" s="306">
        <f t="shared" ca="1" si="310"/>
        <v>0</v>
      </c>
      <c r="S677" s="307">
        <f t="shared" ca="1" si="311"/>
        <v>8.5499999999999989</v>
      </c>
      <c r="T677" s="304">
        <f t="shared" ca="1" si="291"/>
        <v>83.875499999999988</v>
      </c>
      <c r="U677" s="311">
        <f t="shared" ca="1" si="292"/>
        <v>0</v>
      </c>
      <c r="V677" s="306">
        <f t="shared" ca="1" si="293"/>
        <v>1.2256986591356092</v>
      </c>
      <c r="W677" s="304">
        <f t="shared" ca="1" si="294"/>
        <v>58.408779499906409</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2.9208049541819943</v>
      </c>
      <c r="AH677" s="304">
        <f t="shared" ca="1" si="318"/>
        <v>-6.8313955963193802</v>
      </c>
    </row>
    <row r="678" spans="1:34" x14ac:dyDescent="0.3">
      <c r="A678" s="347">
        <f t="shared" ca="1" si="296"/>
        <v>1E-4</v>
      </c>
      <c r="B678" s="304">
        <f t="shared" ca="1" si="297"/>
        <v>33.116300000000741</v>
      </c>
      <c r="D678" s="306">
        <f t="shared" ca="1" si="298"/>
        <v>-0.74047482602846593</v>
      </c>
      <c r="E678" s="307">
        <f t="shared" ca="1" si="299"/>
        <v>-3.0188132428448826</v>
      </c>
      <c r="F678" s="304">
        <f t="shared" ca="1" si="300"/>
        <v>3.1083012021291503</v>
      </c>
      <c r="G678" s="306">
        <f t="shared" ca="1" si="301"/>
        <v>13.441253405093631</v>
      </c>
      <c r="H678" s="307">
        <f t="shared" ca="1" si="302"/>
        <v>-123.27601874007959</v>
      </c>
      <c r="I678" s="304">
        <f t="shared" ca="1" si="303"/>
        <v>124.00662921595924</v>
      </c>
      <c r="J678" s="306">
        <f t="shared" ca="1" si="304"/>
        <v>764.67878961306644</v>
      </c>
      <c r="K678" s="307">
        <f t="shared" ca="1" si="305"/>
        <v>-5.7140415286775763</v>
      </c>
      <c r="L678" s="304">
        <f t="shared" ca="1" si="290"/>
        <v>764.7001383252757</v>
      </c>
      <c r="M678" s="306">
        <f t="shared" ca="1" si="306"/>
        <v>-1.4621915436660478</v>
      </c>
      <c r="N678" s="304">
        <f t="shared" ca="1" si="307"/>
        <v>-83.777404291783355</v>
      </c>
      <c r="P678" s="310">
        <f t="shared" ca="1" si="308"/>
        <v>23</v>
      </c>
      <c r="Q678" s="304">
        <f t="shared" ca="1" si="309"/>
        <v>0</v>
      </c>
      <c r="R678" s="306">
        <f t="shared" ca="1" si="310"/>
        <v>0</v>
      </c>
      <c r="S678" s="307">
        <f t="shared" ca="1" si="311"/>
        <v>8.5499999999999989</v>
      </c>
      <c r="T678" s="304">
        <f t="shared" ca="1" si="291"/>
        <v>83.875499999999988</v>
      </c>
      <c r="U678" s="311">
        <f t="shared" ca="1" si="292"/>
        <v>0</v>
      </c>
      <c r="V678" s="306">
        <f t="shared" ca="1" si="293"/>
        <v>1.2257001701273222</v>
      </c>
      <c r="W678" s="304">
        <f t="shared" ca="1" si="294"/>
        <v>58.409126649134713</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2.9207652634740029</v>
      </c>
      <c r="AH678" s="304">
        <f t="shared" ca="1" si="318"/>
        <v>-6.8314361988194641</v>
      </c>
    </row>
    <row r="679" spans="1:34" x14ac:dyDescent="0.3">
      <c r="A679" s="347">
        <f t="shared" ca="1" si="296"/>
        <v>1E-4</v>
      </c>
      <c r="B679" s="304">
        <f t="shared" ca="1" si="297"/>
        <v>33.116400000000745</v>
      </c>
      <c r="D679" s="306">
        <f t="shared" ca="1" si="298"/>
        <v>-0.74047340367801273</v>
      </c>
      <c r="E679" s="307">
        <f t="shared" ca="1" si="299"/>
        <v>-3.0187722448749321</v>
      </c>
      <c r="F679" s="304">
        <f t="shared" ca="1" si="300"/>
        <v>3.108261045662307</v>
      </c>
      <c r="G679" s="306">
        <f t="shared" ca="1" si="301"/>
        <v>13.441179357753263</v>
      </c>
      <c r="H679" s="307">
        <f t="shared" ca="1" si="302"/>
        <v>-123.27632061730408</v>
      </c>
      <c r="I679" s="304">
        <f t="shared" ca="1" si="303"/>
        <v>124.00692128856213</v>
      </c>
      <c r="J679" s="306">
        <f t="shared" ca="1" si="304"/>
        <v>764.67878961306644</v>
      </c>
      <c r="K679" s="307">
        <f t="shared" ca="1" si="305"/>
        <v>-5.7263691456454451</v>
      </c>
      <c r="L679" s="304">
        <f t="shared" ca="1" si="290"/>
        <v>764.70023053984789</v>
      </c>
      <c r="M679" s="306">
        <f t="shared" ca="1" si="306"/>
        <v>-1.4621924011341005</v>
      </c>
      <c r="N679" s="304">
        <f t="shared" ca="1" si="307"/>
        <v>-83.777453421083848</v>
      </c>
      <c r="P679" s="310">
        <f t="shared" ca="1" si="308"/>
        <v>23</v>
      </c>
      <c r="Q679" s="304">
        <f t="shared" ca="1" si="309"/>
        <v>0</v>
      </c>
      <c r="R679" s="306">
        <f t="shared" ca="1" si="310"/>
        <v>0</v>
      </c>
      <c r="S679" s="307">
        <f t="shared" ca="1" si="311"/>
        <v>8.5499999999999989</v>
      </c>
      <c r="T679" s="304">
        <f t="shared" ca="1" si="291"/>
        <v>83.875499999999988</v>
      </c>
      <c r="U679" s="311">
        <f t="shared" ca="1" si="292"/>
        <v>0</v>
      </c>
      <c r="V679" s="306">
        <f t="shared" ca="1" si="293"/>
        <v>1.2257016811245989</v>
      </c>
      <c r="W679" s="304">
        <f t="shared" ca="1" si="294"/>
        <v>58.409473796215593</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2.9207255730006834</v>
      </c>
      <c r="AH679" s="304">
        <f t="shared" ca="1" si="318"/>
        <v>-6.8314768010683879</v>
      </c>
    </row>
    <row r="680" spans="1:34" x14ac:dyDescent="0.3">
      <c r="A680" s="347">
        <f t="shared" ca="1" si="296"/>
        <v>1E-4</v>
      </c>
      <c r="B680" s="304">
        <f t="shared" ca="1" si="297"/>
        <v>33.116500000000748</v>
      </c>
      <c r="D680" s="306">
        <f t="shared" ca="1" si="298"/>
        <v>-0.74047198129008296</v>
      </c>
      <c r="E680" s="307">
        <f t="shared" ca="1" si="299"/>
        <v>-3.0187312471585965</v>
      </c>
      <c r="F680" s="304">
        <f t="shared" ca="1" si="300"/>
        <v>3.1082208894554708</v>
      </c>
      <c r="G680" s="306">
        <f t="shared" ca="1" si="301"/>
        <v>13.441105310555134</v>
      </c>
      <c r="H680" s="307">
        <f t="shared" ca="1" si="302"/>
        <v>-123.27662249042879</v>
      </c>
      <c r="I680" s="304">
        <f t="shared" ca="1" si="303"/>
        <v>124.00721335719599</v>
      </c>
      <c r="J680" s="306">
        <f t="shared" ca="1" si="304"/>
        <v>764.67878961306644</v>
      </c>
      <c r="K680" s="307">
        <f t="shared" ca="1" si="305"/>
        <v>-5.7386967928008321</v>
      </c>
      <c r="L680" s="304">
        <f t="shared" ca="1" si="290"/>
        <v>764.70032295336716</v>
      </c>
      <c r="M680" s="306">
        <f t="shared" ca="1" si="306"/>
        <v>-1.4621932585933906</v>
      </c>
      <c r="N680" s="304">
        <f t="shared" ca="1" si="307"/>
        <v>-83.777502549882271</v>
      </c>
      <c r="P680" s="310">
        <f t="shared" ca="1" si="308"/>
        <v>23</v>
      </c>
      <c r="Q680" s="304">
        <f t="shared" ca="1" si="309"/>
        <v>0</v>
      </c>
      <c r="R680" s="306">
        <f t="shared" ca="1" si="310"/>
        <v>0</v>
      </c>
      <c r="S680" s="307">
        <f t="shared" ca="1" si="311"/>
        <v>8.5499999999999989</v>
      </c>
      <c r="T680" s="304">
        <f t="shared" ca="1" si="291"/>
        <v>83.875499999999988</v>
      </c>
      <c r="U680" s="311">
        <f t="shared" ca="1" si="292"/>
        <v>0</v>
      </c>
      <c r="V680" s="306">
        <f t="shared" ca="1" si="293"/>
        <v>1.2257031921274382</v>
      </c>
      <c r="W680" s="304">
        <f t="shared" ca="1" si="294"/>
        <v>58.409820941148993</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2.9206858827620357</v>
      </c>
      <c r="AH680" s="304">
        <f t="shared" ca="1" si="318"/>
        <v>-6.8315174030661519</v>
      </c>
    </row>
    <row r="681" spans="1:34" x14ac:dyDescent="0.3">
      <c r="A681" s="347">
        <f t="shared" ca="1" si="296"/>
        <v>1E-4</v>
      </c>
      <c r="B681" s="304">
        <f t="shared" ca="1" si="297"/>
        <v>33.116600000000751</v>
      </c>
      <c r="D681" s="306">
        <f t="shared" ca="1" si="298"/>
        <v>-0.74047055886467583</v>
      </c>
      <c r="E681" s="307">
        <f t="shared" ca="1" si="299"/>
        <v>-3.018690249695883</v>
      </c>
      <c r="F681" s="304">
        <f t="shared" ca="1" si="300"/>
        <v>3.108180733508648</v>
      </c>
      <c r="G681" s="306">
        <f t="shared" ca="1" si="301"/>
        <v>13.441031263499248</v>
      </c>
      <c r="H681" s="307">
        <f t="shared" ca="1" si="302"/>
        <v>-123.27692435945376</v>
      </c>
      <c r="I681" s="304">
        <f t="shared" ca="1" si="303"/>
        <v>124.00750542186084</v>
      </c>
      <c r="J681" s="306">
        <f t="shared" ca="1" si="304"/>
        <v>764.67878961306644</v>
      </c>
      <c r="K681" s="307">
        <f t="shared" ca="1" si="305"/>
        <v>-5.7510244701433262</v>
      </c>
      <c r="L681" s="304">
        <f t="shared" ca="1" si="290"/>
        <v>764.70041556583487</v>
      </c>
      <c r="M681" s="306">
        <f t="shared" ca="1" si="306"/>
        <v>-1.4621941160439176</v>
      </c>
      <c r="N681" s="304">
        <f t="shared" ca="1" si="307"/>
        <v>-83.777551678178611</v>
      </c>
      <c r="P681" s="310">
        <f t="shared" ca="1" si="308"/>
        <v>23</v>
      </c>
      <c r="Q681" s="304">
        <f t="shared" ca="1" si="309"/>
        <v>0</v>
      </c>
      <c r="R681" s="306">
        <f t="shared" ca="1" si="310"/>
        <v>0</v>
      </c>
      <c r="S681" s="307">
        <f t="shared" ca="1" si="311"/>
        <v>8.5499999999999989</v>
      </c>
      <c r="T681" s="304">
        <f t="shared" ca="1" si="291"/>
        <v>83.875499999999988</v>
      </c>
      <c r="U681" s="311">
        <f t="shared" ca="1" si="292"/>
        <v>0</v>
      </c>
      <c r="V681" s="306">
        <f t="shared" ca="1" si="293"/>
        <v>1.2257047031358417</v>
      </c>
      <c r="W681" s="304">
        <f t="shared" ca="1" si="294"/>
        <v>58.410168083934963</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2.9206461927580669</v>
      </c>
      <c r="AH681" s="304">
        <f t="shared" ca="1" si="318"/>
        <v>-6.8315580048127487</v>
      </c>
    </row>
    <row r="682" spans="1:34" x14ac:dyDescent="0.3">
      <c r="A682" s="347">
        <f t="shared" ca="1" si="296"/>
        <v>1E-4</v>
      </c>
      <c r="B682" s="304">
        <f t="shared" ca="1" si="297"/>
        <v>33.116700000000755</v>
      </c>
      <c r="D682" s="306">
        <f t="shared" ca="1" si="298"/>
        <v>-0.74046913640179512</v>
      </c>
      <c r="E682" s="307">
        <f t="shared" ca="1" si="299"/>
        <v>-3.0186492524867861</v>
      </c>
      <c r="F682" s="304">
        <f t="shared" ca="1" si="300"/>
        <v>3.1081405778218354</v>
      </c>
      <c r="G682" s="306">
        <f t="shared" ca="1" si="301"/>
        <v>13.440957216585607</v>
      </c>
      <c r="H682" s="307">
        <f t="shared" ca="1" si="302"/>
        <v>-123.27722622437901</v>
      </c>
      <c r="I682" s="304">
        <f t="shared" ca="1" si="303"/>
        <v>124.00779748255673</v>
      </c>
      <c r="J682" s="306">
        <f t="shared" ca="1" si="304"/>
        <v>764.67878961306644</v>
      </c>
      <c r="K682" s="307">
        <f t="shared" ca="1" si="305"/>
        <v>-5.7633521776725178</v>
      </c>
      <c r="L682" s="304">
        <f t="shared" ca="1" si="290"/>
        <v>764.70050837725239</v>
      </c>
      <c r="M682" s="306">
        <f t="shared" ca="1" si="306"/>
        <v>-1.4621949734856823</v>
      </c>
      <c r="N682" s="304">
        <f t="shared" ca="1" si="307"/>
        <v>-83.777600805972909</v>
      </c>
      <c r="P682" s="310">
        <f t="shared" ca="1" si="308"/>
        <v>23</v>
      </c>
      <c r="Q682" s="304">
        <f t="shared" ca="1" si="309"/>
        <v>0</v>
      </c>
      <c r="R682" s="306">
        <f t="shared" ca="1" si="310"/>
        <v>0</v>
      </c>
      <c r="S682" s="307">
        <f t="shared" ca="1" si="311"/>
        <v>8.5499999999999989</v>
      </c>
      <c r="T682" s="304">
        <f t="shared" ca="1" si="291"/>
        <v>83.875499999999988</v>
      </c>
      <c r="U682" s="311">
        <f t="shared" ca="1" si="292"/>
        <v>0</v>
      </c>
      <c r="V682" s="306">
        <f t="shared" ca="1" si="293"/>
        <v>1.2257062141498081</v>
      </c>
      <c r="W682" s="304">
        <f t="shared" ca="1" si="294"/>
        <v>58.410515224573444</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2.9206065029887736</v>
      </c>
      <c r="AH682" s="304">
        <f t="shared" ca="1" si="318"/>
        <v>-6.8315986063081837</v>
      </c>
    </row>
    <row r="683" spans="1:34" x14ac:dyDescent="0.3">
      <c r="A683" s="347">
        <f t="shared" ca="1" si="296"/>
        <v>1E-4</v>
      </c>
      <c r="B683" s="304">
        <f t="shared" ca="1" si="297"/>
        <v>33.116800000000758</v>
      </c>
      <c r="D683" s="306">
        <f t="shared" ca="1" si="298"/>
        <v>-0.74046771390143762</v>
      </c>
      <c r="E683" s="307">
        <f t="shared" ca="1" si="299"/>
        <v>-3.0186082555313121</v>
      </c>
      <c r="F683" s="304">
        <f t="shared" ca="1" si="300"/>
        <v>3.1081004223950379</v>
      </c>
      <c r="G683" s="306">
        <f t="shared" ca="1" si="301"/>
        <v>13.440883169814217</v>
      </c>
      <c r="H683" s="307">
        <f t="shared" ca="1" si="302"/>
        <v>-123.27752808520457</v>
      </c>
      <c r="I683" s="304">
        <f t="shared" ca="1" si="303"/>
        <v>124.00808953928367</v>
      </c>
      <c r="J683" s="306">
        <f t="shared" ca="1" si="304"/>
        <v>764.67878961306644</v>
      </c>
      <c r="K683" s="307">
        <f t="shared" ca="1" si="305"/>
        <v>-5.7756799153879967</v>
      </c>
      <c r="L683" s="304">
        <f t="shared" ca="1" si="290"/>
        <v>764.70060138762108</v>
      </c>
      <c r="M683" s="306">
        <f t="shared" ca="1" si="306"/>
        <v>-1.4621958309186842</v>
      </c>
      <c r="N683" s="304">
        <f t="shared" ca="1" si="307"/>
        <v>-83.777649933265124</v>
      </c>
      <c r="P683" s="310">
        <f t="shared" ca="1" si="308"/>
        <v>23</v>
      </c>
      <c r="Q683" s="304">
        <f t="shared" ca="1" si="309"/>
        <v>0</v>
      </c>
      <c r="R683" s="306">
        <f t="shared" ca="1" si="310"/>
        <v>0</v>
      </c>
      <c r="S683" s="307">
        <f t="shared" ca="1" si="311"/>
        <v>8.5499999999999989</v>
      </c>
      <c r="T683" s="304">
        <f t="shared" ca="1" si="291"/>
        <v>83.875499999999988</v>
      </c>
      <c r="U683" s="311">
        <f t="shared" ca="1" si="292"/>
        <v>0</v>
      </c>
      <c r="V683" s="306">
        <f t="shared" ca="1" si="293"/>
        <v>1.2257077251693371</v>
      </c>
      <c r="W683" s="304">
        <f t="shared" ca="1" si="294"/>
        <v>58.410862363064439</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2.9205668134541583</v>
      </c>
      <c r="AH683" s="304">
        <f t="shared" ca="1" si="318"/>
        <v>-6.8316392075524508</v>
      </c>
    </row>
    <row r="684" spans="1:34" x14ac:dyDescent="0.3">
      <c r="A684" s="347">
        <f t="shared" ca="1" si="296"/>
        <v>1E-4</v>
      </c>
      <c r="B684" s="304">
        <f t="shared" ca="1" si="297"/>
        <v>33.116900000000761</v>
      </c>
      <c r="D684" s="306">
        <f t="shared" ca="1" si="298"/>
        <v>-0.74046629136360764</v>
      </c>
      <c r="E684" s="307">
        <f t="shared" ca="1" si="299"/>
        <v>-3.0185672588294628</v>
      </c>
      <c r="F684" s="304">
        <f t="shared" ca="1" si="300"/>
        <v>3.1080602672282582</v>
      </c>
      <c r="G684" s="306">
        <f t="shared" ca="1" si="301"/>
        <v>13.440809123185081</v>
      </c>
      <c r="H684" s="307">
        <f t="shared" ca="1" si="302"/>
        <v>-123.27782994193045</v>
      </c>
      <c r="I684" s="304">
        <f t="shared" ca="1" si="303"/>
        <v>124.00838159204167</v>
      </c>
      <c r="J684" s="306">
        <f t="shared" ca="1" si="304"/>
        <v>764.67878961306644</v>
      </c>
      <c r="K684" s="307">
        <f t="shared" ca="1" si="305"/>
        <v>-5.7880076832893534</v>
      </c>
      <c r="L684" s="304">
        <f t="shared" ca="1" si="290"/>
        <v>764.70069459694241</v>
      </c>
      <c r="M684" s="306">
        <f t="shared" ca="1" si="306"/>
        <v>-1.462196688342924</v>
      </c>
      <c r="N684" s="304">
        <f t="shared" ca="1" si="307"/>
        <v>-83.777699060055326</v>
      </c>
      <c r="P684" s="310">
        <f t="shared" ca="1" si="308"/>
        <v>23</v>
      </c>
      <c r="Q684" s="304">
        <f t="shared" ca="1" si="309"/>
        <v>0</v>
      </c>
      <c r="R684" s="306">
        <f t="shared" ca="1" si="310"/>
        <v>0</v>
      </c>
      <c r="S684" s="307">
        <f t="shared" ca="1" si="311"/>
        <v>8.5499999999999989</v>
      </c>
      <c r="T684" s="304">
        <f t="shared" ca="1" si="291"/>
        <v>83.875499999999988</v>
      </c>
      <c r="U684" s="311">
        <f t="shared" ca="1" si="292"/>
        <v>0</v>
      </c>
      <c r="V684" s="306">
        <f t="shared" ca="1" si="293"/>
        <v>1.22570923619443</v>
      </c>
      <c r="W684" s="304">
        <f t="shared" ca="1" si="294"/>
        <v>58.411209499407931</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2.9205271241542254</v>
      </c>
      <c r="AH684" s="304">
        <f t="shared" ca="1" si="318"/>
        <v>-6.831679808545549</v>
      </c>
    </row>
    <row r="685" spans="1:34" x14ac:dyDescent="0.3">
      <c r="A685" s="347">
        <f t="shared" ca="1" si="296"/>
        <v>1E-4</v>
      </c>
      <c r="B685" s="304">
        <f t="shared" ca="1" si="297"/>
        <v>33.117000000000765</v>
      </c>
      <c r="D685" s="306">
        <f t="shared" ca="1" si="298"/>
        <v>-0.74046486878830264</v>
      </c>
      <c r="E685" s="307">
        <f t="shared" ca="1" si="299"/>
        <v>-3.0185262623812354</v>
      </c>
      <c r="F685" s="304">
        <f t="shared" ca="1" si="300"/>
        <v>3.1080201123214932</v>
      </c>
      <c r="G685" s="306">
        <f t="shared" ca="1" si="301"/>
        <v>13.440735076698203</v>
      </c>
      <c r="H685" s="307">
        <f t="shared" ca="1" si="302"/>
        <v>-123.27813179455669</v>
      </c>
      <c r="I685" s="304">
        <f t="shared" ca="1" si="303"/>
        <v>124.00867364083076</v>
      </c>
      <c r="J685" s="306">
        <f t="shared" ca="1" si="304"/>
        <v>764.67878961306644</v>
      </c>
      <c r="K685" s="307">
        <f t="shared" ca="1" si="305"/>
        <v>-5.8003354813761776</v>
      </c>
      <c r="L685" s="304">
        <f t="shared" ca="1" si="290"/>
        <v>764.70078800521765</v>
      </c>
      <c r="M685" s="306">
        <f t="shared" ca="1" si="306"/>
        <v>-1.4621975457584016</v>
      </c>
      <c r="N685" s="304">
        <f t="shared" ca="1" si="307"/>
        <v>-83.777748186343473</v>
      </c>
      <c r="P685" s="310">
        <f t="shared" ca="1" si="308"/>
        <v>23</v>
      </c>
      <c r="Q685" s="304">
        <f t="shared" ca="1" si="309"/>
        <v>0</v>
      </c>
      <c r="R685" s="306">
        <f t="shared" ca="1" si="310"/>
        <v>0</v>
      </c>
      <c r="S685" s="307">
        <f t="shared" ca="1" si="311"/>
        <v>8.5499999999999989</v>
      </c>
      <c r="T685" s="304">
        <f t="shared" ca="1" si="291"/>
        <v>83.875499999999988</v>
      </c>
      <c r="U685" s="311">
        <f t="shared" ca="1" si="292"/>
        <v>0</v>
      </c>
      <c r="V685" s="306">
        <f t="shared" ca="1" si="293"/>
        <v>1.2257107472250863</v>
      </c>
      <c r="W685" s="304">
        <f t="shared" ca="1" si="294"/>
        <v>58.411556633603929</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2.9204874350889787</v>
      </c>
      <c r="AH685" s="304">
        <f t="shared" ca="1" si="318"/>
        <v>-6.8317204092874784</v>
      </c>
    </row>
    <row r="686" spans="1:34" x14ac:dyDescent="0.3">
      <c r="A686" s="347">
        <f t="shared" ca="1" si="296"/>
        <v>1E-4</v>
      </c>
      <c r="B686" s="304">
        <f t="shared" ca="1" si="297"/>
        <v>33.117100000000768</v>
      </c>
      <c r="D686" s="306">
        <f t="shared" ca="1" si="298"/>
        <v>-0.74046344617552551</v>
      </c>
      <c r="E686" s="307">
        <f t="shared" ca="1" si="299"/>
        <v>-3.0184852661866346</v>
      </c>
      <c r="F686" s="304">
        <f t="shared" ca="1" si="300"/>
        <v>3.1079799576747487</v>
      </c>
      <c r="G686" s="306">
        <f t="shared" ca="1" si="301"/>
        <v>13.440661030353587</v>
      </c>
      <c r="H686" s="307">
        <f t="shared" ca="1" si="302"/>
        <v>-123.2784336430833</v>
      </c>
      <c r="I686" s="304">
        <f t="shared" ca="1" si="303"/>
        <v>124.00896568565096</v>
      </c>
      <c r="J686" s="306">
        <f t="shared" ca="1" si="304"/>
        <v>764.67878961306644</v>
      </c>
      <c r="K686" s="307">
        <f t="shared" ca="1" si="305"/>
        <v>-5.8126633096480598</v>
      </c>
      <c r="L686" s="304">
        <f t="shared" ca="1" si="290"/>
        <v>764.70088161244826</v>
      </c>
      <c r="M686" s="306">
        <f t="shared" ca="1" si="306"/>
        <v>-1.4621984031651172</v>
      </c>
      <c r="N686" s="304">
        <f t="shared" ca="1" si="307"/>
        <v>-83.777797312129607</v>
      </c>
      <c r="P686" s="310">
        <f t="shared" ca="1" si="308"/>
        <v>23</v>
      </c>
      <c r="Q686" s="304">
        <f t="shared" ca="1" si="309"/>
        <v>0</v>
      </c>
      <c r="R686" s="306">
        <f t="shared" ca="1" si="310"/>
        <v>0</v>
      </c>
      <c r="S686" s="307">
        <f t="shared" ca="1" si="311"/>
        <v>8.5499999999999989</v>
      </c>
      <c r="T686" s="304">
        <f t="shared" ca="1" si="291"/>
        <v>83.875499999999988</v>
      </c>
      <c r="U686" s="311">
        <f t="shared" ca="1" si="292"/>
        <v>0</v>
      </c>
      <c r="V686" s="306">
        <f t="shared" ca="1" si="293"/>
        <v>1.2257122582613049</v>
      </c>
      <c r="W686" s="304">
        <f t="shared" ca="1" si="294"/>
        <v>58.41190376565234</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2.9204477462584117</v>
      </c>
      <c r="AH686" s="304">
        <f t="shared" ca="1" si="318"/>
        <v>-6.831761009778238</v>
      </c>
    </row>
    <row r="687" spans="1:34" x14ac:dyDescent="0.3">
      <c r="A687" s="347">
        <f t="shared" ca="1" si="296"/>
        <v>1E-4</v>
      </c>
      <c r="B687" s="304">
        <f t="shared" ca="1" si="297"/>
        <v>33.117200000000771</v>
      </c>
      <c r="D687" s="306">
        <f t="shared" ca="1" si="298"/>
        <v>-0.74046202352527402</v>
      </c>
      <c r="E687" s="307">
        <f t="shared" ca="1" si="299"/>
        <v>-3.0184442702456673</v>
      </c>
      <c r="F687" s="304">
        <f t="shared" ca="1" si="300"/>
        <v>3.1079398032880308</v>
      </c>
      <c r="G687" s="306">
        <f t="shared" ca="1" si="301"/>
        <v>13.440586984151235</v>
      </c>
      <c r="H687" s="307">
        <f t="shared" ca="1" si="302"/>
        <v>-123.27873548751033</v>
      </c>
      <c r="I687" s="304">
        <f t="shared" ca="1" si="303"/>
        <v>124.00925772650233</v>
      </c>
      <c r="J687" s="306">
        <f t="shared" ca="1" si="304"/>
        <v>764.67878961306644</v>
      </c>
      <c r="K687" s="307">
        <f t="shared" ca="1" si="305"/>
        <v>-5.8249911681045896</v>
      </c>
      <c r="L687" s="304">
        <f t="shared" ca="1" si="290"/>
        <v>764.70097541863561</v>
      </c>
      <c r="M687" s="306">
        <f t="shared" ca="1" si="306"/>
        <v>-1.4621992605630707</v>
      </c>
      <c r="N687" s="304">
        <f t="shared" ca="1" si="307"/>
        <v>-83.777846437413714</v>
      </c>
      <c r="P687" s="310">
        <f t="shared" ca="1" si="308"/>
        <v>23</v>
      </c>
      <c r="Q687" s="304">
        <f t="shared" ca="1" si="309"/>
        <v>0</v>
      </c>
      <c r="R687" s="306">
        <f t="shared" ca="1" si="310"/>
        <v>0</v>
      </c>
      <c r="S687" s="307">
        <f t="shared" ca="1" si="311"/>
        <v>8.5499999999999989</v>
      </c>
      <c r="T687" s="304">
        <f t="shared" ca="1" si="291"/>
        <v>83.875499999999988</v>
      </c>
      <c r="U687" s="311">
        <f t="shared" ca="1" si="292"/>
        <v>0</v>
      </c>
      <c r="V687" s="306">
        <f t="shared" ca="1" si="293"/>
        <v>1.2257137693030873</v>
      </c>
      <c r="W687" s="304">
        <f t="shared" ca="1" si="294"/>
        <v>58.412250895553278</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2.9204080576625397</v>
      </c>
      <c r="AH687" s="304">
        <f t="shared" ca="1" si="318"/>
        <v>-6.831801610017818</v>
      </c>
    </row>
    <row r="688" spans="1:34" x14ac:dyDescent="0.3">
      <c r="A688" s="347">
        <f t="shared" ca="1" si="296"/>
        <v>1E-4</v>
      </c>
      <c r="B688" s="304">
        <f t="shared" ca="1" si="297"/>
        <v>33.117300000000775</v>
      </c>
      <c r="D688" s="306">
        <f t="shared" ca="1" si="298"/>
        <v>-0.74046060083755283</v>
      </c>
      <c r="E688" s="307">
        <f t="shared" ca="1" si="299"/>
        <v>-3.018403274558322</v>
      </c>
      <c r="F688" s="304">
        <f t="shared" ca="1" si="300"/>
        <v>3.1078996491613289</v>
      </c>
      <c r="G688" s="306">
        <f t="shared" ca="1" si="301"/>
        <v>13.440512938091151</v>
      </c>
      <c r="H688" s="307">
        <f t="shared" ca="1" si="302"/>
        <v>-123.27903732783778</v>
      </c>
      <c r="I688" s="304">
        <f t="shared" ca="1" si="303"/>
        <v>124.00954976338483</v>
      </c>
      <c r="J688" s="306">
        <f t="shared" ca="1" si="304"/>
        <v>764.67878961306644</v>
      </c>
      <c r="K688" s="307">
        <f t="shared" ca="1" si="305"/>
        <v>-5.8373190567453568</v>
      </c>
      <c r="L688" s="304">
        <f t="shared" ca="1" si="290"/>
        <v>764.70106942378118</v>
      </c>
      <c r="M688" s="306">
        <f t="shared" ca="1" si="306"/>
        <v>-1.4622001179522626</v>
      </c>
      <c r="N688" s="304">
        <f t="shared" ca="1" si="307"/>
        <v>-83.777895562195795</v>
      </c>
      <c r="P688" s="310">
        <f t="shared" ca="1" si="308"/>
        <v>23</v>
      </c>
      <c r="Q688" s="304">
        <f t="shared" ca="1" si="309"/>
        <v>0</v>
      </c>
      <c r="R688" s="306">
        <f t="shared" ca="1" si="310"/>
        <v>0</v>
      </c>
      <c r="S688" s="307">
        <f t="shared" ca="1" si="311"/>
        <v>8.5499999999999989</v>
      </c>
      <c r="T688" s="304">
        <f t="shared" ca="1" si="291"/>
        <v>83.875499999999988</v>
      </c>
      <c r="U688" s="311">
        <f t="shared" ca="1" si="292"/>
        <v>0</v>
      </c>
      <c r="V688" s="306">
        <f t="shared" ca="1" si="293"/>
        <v>1.2257152803504323</v>
      </c>
      <c r="W688" s="304">
        <f t="shared" ca="1" si="294"/>
        <v>58.412598023306607</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2.9203683693013494</v>
      </c>
      <c r="AH688" s="304">
        <f t="shared" ca="1" si="318"/>
        <v>-6.8318422100062319</v>
      </c>
    </row>
    <row r="689" spans="1:34" x14ac:dyDescent="0.3">
      <c r="A689" s="347">
        <f t="shared" ca="1" si="296"/>
        <v>1E-4</v>
      </c>
      <c r="B689" s="304">
        <f t="shared" ca="1" si="297"/>
        <v>33.117400000000778</v>
      </c>
      <c r="D689" s="306">
        <f t="shared" ca="1" si="298"/>
        <v>-0.74045917811235895</v>
      </c>
      <c r="E689" s="307">
        <f t="shared" ca="1" si="299"/>
        <v>-3.0183622791246139</v>
      </c>
      <c r="F689" s="304">
        <f t="shared" ca="1" si="300"/>
        <v>3.1078594952946572</v>
      </c>
      <c r="G689" s="306">
        <f t="shared" ca="1" si="301"/>
        <v>13.44043889217334</v>
      </c>
      <c r="H689" s="307">
        <f t="shared" ca="1" si="302"/>
        <v>-123.2793391640657</v>
      </c>
      <c r="I689" s="304">
        <f t="shared" ca="1" si="303"/>
        <v>124.00984179629853</v>
      </c>
      <c r="J689" s="306">
        <f t="shared" ca="1" si="304"/>
        <v>764.67878961306644</v>
      </c>
      <c r="K689" s="307">
        <f t="shared" ca="1" si="305"/>
        <v>-5.8496469755699518</v>
      </c>
      <c r="L689" s="304">
        <f t="shared" ca="1" si="290"/>
        <v>764.7011636278861</v>
      </c>
      <c r="M689" s="306">
        <f t="shared" ca="1" si="306"/>
        <v>-1.4622009753326928</v>
      </c>
      <c r="N689" s="304">
        <f t="shared" ca="1" si="307"/>
        <v>-83.777944686475891</v>
      </c>
      <c r="P689" s="310">
        <f t="shared" ca="1" si="308"/>
        <v>23</v>
      </c>
      <c r="Q689" s="304">
        <f t="shared" ca="1" si="309"/>
        <v>0</v>
      </c>
      <c r="R689" s="306">
        <f t="shared" ca="1" si="310"/>
        <v>0</v>
      </c>
      <c r="S689" s="307">
        <f t="shared" ca="1" si="311"/>
        <v>8.5499999999999989</v>
      </c>
      <c r="T689" s="304">
        <f t="shared" ca="1" si="291"/>
        <v>83.875499999999988</v>
      </c>
      <c r="U689" s="311">
        <f t="shared" ca="1" si="292"/>
        <v>0</v>
      </c>
      <c r="V689" s="306">
        <f t="shared" ca="1" si="293"/>
        <v>1.2257167914033407</v>
      </c>
      <c r="W689" s="304">
        <f t="shared" ca="1" si="294"/>
        <v>58.412945148912392</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2.9203286811748548</v>
      </c>
      <c r="AH689" s="304">
        <f t="shared" ca="1" si="318"/>
        <v>-6.8318828097434636</v>
      </c>
    </row>
    <row r="690" spans="1:34" x14ac:dyDescent="0.3">
      <c r="A690" s="347">
        <f t="shared" ca="1" si="296"/>
        <v>1E-4</v>
      </c>
      <c r="B690" s="304">
        <f t="shared" ca="1" si="297"/>
        <v>33.117500000000781</v>
      </c>
      <c r="D690" s="306">
        <f t="shared" ca="1" si="298"/>
        <v>-0.74045775534969482</v>
      </c>
      <c r="E690" s="307">
        <f t="shared" ca="1" si="299"/>
        <v>-3.0183212839445357</v>
      </c>
      <c r="F690" s="304">
        <f t="shared" ca="1" si="300"/>
        <v>3.1078193416880104</v>
      </c>
      <c r="G690" s="306">
        <f t="shared" ca="1" si="301"/>
        <v>13.440364846397806</v>
      </c>
      <c r="H690" s="307">
        <f t="shared" ca="1" si="302"/>
        <v>-123.2796409961941</v>
      </c>
      <c r="I690" s="304">
        <f t="shared" ca="1" si="303"/>
        <v>124.01013382524344</v>
      </c>
      <c r="J690" s="306">
        <f t="shared" ca="1" si="304"/>
        <v>764.67878961306644</v>
      </c>
      <c r="K690" s="307">
        <f t="shared" ca="1" si="305"/>
        <v>-5.8619749245779644</v>
      </c>
      <c r="L690" s="304">
        <f t="shared" ca="1" si="290"/>
        <v>764.70125803095209</v>
      </c>
      <c r="M690" s="306">
        <f t="shared" ca="1" si="306"/>
        <v>-1.4622018327043615</v>
      </c>
      <c r="N690" s="304">
        <f t="shared" ca="1" si="307"/>
        <v>-83.777993810253989</v>
      </c>
      <c r="P690" s="310">
        <f t="shared" ca="1" si="308"/>
        <v>23</v>
      </c>
      <c r="Q690" s="304">
        <f t="shared" ca="1" si="309"/>
        <v>0</v>
      </c>
      <c r="R690" s="306">
        <f t="shared" ca="1" si="310"/>
        <v>0</v>
      </c>
      <c r="S690" s="307">
        <f t="shared" ca="1" si="311"/>
        <v>8.5499999999999989</v>
      </c>
      <c r="T690" s="304">
        <f t="shared" ca="1" si="291"/>
        <v>83.875499999999988</v>
      </c>
      <c r="U690" s="311">
        <f t="shared" ca="1" si="292"/>
        <v>0</v>
      </c>
      <c r="V690" s="306">
        <f t="shared" ca="1" si="293"/>
        <v>1.2257183024618117</v>
      </c>
      <c r="W690" s="304">
        <f t="shared" ca="1" si="294"/>
        <v>58.413292272370576</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2.9202889932830525</v>
      </c>
      <c r="AH690" s="304">
        <f t="shared" ca="1" si="318"/>
        <v>-6.8319234092295202</v>
      </c>
    </row>
    <row r="691" spans="1:34" x14ac:dyDescent="0.3">
      <c r="A691" s="347">
        <f t="shared" ca="1" si="296"/>
        <v>1E-4</v>
      </c>
      <c r="B691" s="304">
        <f t="shared" ca="1" si="297"/>
        <v>33.117600000000785</v>
      </c>
      <c r="D691" s="306">
        <f t="shared" ca="1" si="298"/>
        <v>-0.74045633254955978</v>
      </c>
      <c r="E691" s="307">
        <f t="shared" ca="1" si="299"/>
        <v>-3.0182802890180938</v>
      </c>
      <c r="F691" s="304">
        <f t="shared" ca="1" si="300"/>
        <v>3.1077791883413939</v>
      </c>
      <c r="G691" s="306">
        <f t="shared" ca="1" si="301"/>
        <v>13.440290800764551</v>
      </c>
      <c r="H691" s="307">
        <f t="shared" ca="1" si="302"/>
        <v>-123.279942824223</v>
      </c>
      <c r="I691" s="304">
        <f t="shared" ca="1" si="303"/>
        <v>124.01042585021958</v>
      </c>
      <c r="J691" s="306">
        <f t="shared" ca="1" si="304"/>
        <v>764.67878961306644</v>
      </c>
      <c r="K691" s="307">
        <f t="shared" ca="1" si="305"/>
        <v>-5.8743029037689851</v>
      </c>
      <c r="L691" s="304">
        <f t="shared" ca="1" si="290"/>
        <v>764.70135263298027</v>
      </c>
      <c r="M691" s="306">
        <f t="shared" ca="1" si="306"/>
        <v>-1.4622026900672689</v>
      </c>
      <c r="N691" s="304">
        <f t="shared" ca="1" si="307"/>
        <v>-83.778042933530088</v>
      </c>
      <c r="P691" s="310">
        <f t="shared" ca="1" si="308"/>
        <v>23</v>
      </c>
      <c r="Q691" s="304">
        <f t="shared" ca="1" si="309"/>
        <v>0</v>
      </c>
      <c r="R691" s="306">
        <f t="shared" ca="1" si="310"/>
        <v>0</v>
      </c>
      <c r="S691" s="307">
        <f t="shared" ca="1" si="311"/>
        <v>8.5499999999999989</v>
      </c>
      <c r="T691" s="304">
        <f t="shared" ca="1" si="291"/>
        <v>83.875499999999988</v>
      </c>
      <c r="U691" s="311">
        <f t="shared" ca="1" si="292"/>
        <v>0</v>
      </c>
      <c r="V691" s="306">
        <f t="shared" ca="1" si="293"/>
        <v>1.225719813525846</v>
      </c>
      <c r="W691" s="304">
        <f t="shared" ca="1" si="294"/>
        <v>58.413639393681173</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2.9202493056259469</v>
      </c>
      <c r="AH691" s="304">
        <f t="shared" ca="1" si="318"/>
        <v>-6.8319640084643956</v>
      </c>
    </row>
    <row r="692" spans="1:34" x14ac:dyDescent="0.3">
      <c r="A692" s="347">
        <f t="shared" ca="1" si="296"/>
        <v>1E-4</v>
      </c>
      <c r="B692" s="304">
        <f t="shared" ca="1" si="297"/>
        <v>33.117700000000788</v>
      </c>
      <c r="D692" s="306">
        <f t="shared" ca="1" si="298"/>
        <v>-0.74045490971195604</v>
      </c>
      <c r="E692" s="307">
        <f t="shared" ca="1" si="299"/>
        <v>-3.0182392943452871</v>
      </c>
      <c r="F692" s="304">
        <f t="shared" ca="1" si="300"/>
        <v>3.1077390352548071</v>
      </c>
      <c r="G692" s="306">
        <f t="shared" ca="1" si="301"/>
        <v>13.44021675527358</v>
      </c>
      <c r="H692" s="307">
        <f t="shared" ca="1" si="302"/>
        <v>-123.28024464815243</v>
      </c>
      <c r="I692" s="304">
        <f t="shared" ca="1" si="303"/>
        <v>124.01071787122697</v>
      </c>
      <c r="J692" s="306">
        <f t="shared" ca="1" si="304"/>
        <v>764.67878961306644</v>
      </c>
      <c r="K692" s="307">
        <f t="shared" ca="1" si="305"/>
        <v>-5.8866309131426036</v>
      </c>
      <c r="L692" s="304">
        <f t="shared" ca="1" si="290"/>
        <v>764.70144743397202</v>
      </c>
      <c r="M692" s="306">
        <f t="shared" ca="1" si="306"/>
        <v>-1.462203547421415</v>
      </c>
      <c r="N692" s="304">
        <f t="shared" ca="1" si="307"/>
        <v>-83.778092056304203</v>
      </c>
      <c r="P692" s="310">
        <f t="shared" ca="1" si="308"/>
        <v>23</v>
      </c>
      <c r="Q692" s="304">
        <f t="shared" ca="1" si="309"/>
        <v>0</v>
      </c>
      <c r="R692" s="306">
        <f t="shared" ca="1" si="310"/>
        <v>0</v>
      </c>
      <c r="S692" s="307">
        <f t="shared" ca="1" si="311"/>
        <v>8.5499999999999989</v>
      </c>
      <c r="T692" s="304">
        <f t="shared" ca="1" si="291"/>
        <v>83.875499999999988</v>
      </c>
      <c r="U692" s="311">
        <f t="shared" ca="1" si="292"/>
        <v>0</v>
      </c>
      <c r="V692" s="306">
        <f t="shared" ca="1" si="293"/>
        <v>1.225721324595443</v>
      </c>
      <c r="W692" s="304">
        <f t="shared" ca="1" si="294"/>
        <v>58.41398651284414</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2.9202096182035362</v>
      </c>
      <c r="AH692" s="304">
        <f t="shared" ca="1" si="318"/>
        <v>-6.8320046074480913</v>
      </c>
    </row>
    <row r="693" spans="1:34" x14ac:dyDescent="0.3">
      <c r="A693" s="347">
        <f t="shared" ca="1" si="296"/>
        <v>1E-4</v>
      </c>
      <c r="B693" s="304">
        <f t="shared" ca="1" si="297"/>
        <v>33.117800000000791</v>
      </c>
      <c r="D693" s="306">
        <f t="shared" ca="1" si="298"/>
        <v>-0.74045348683688317</v>
      </c>
      <c r="E693" s="307">
        <f t="shared" ca="1" si="299"/>
        <v>-3.0181982999261203</v>
      </c>
      <c r="F693" s="304">
        <f t="shared" ca="1" si="300"/>
        <v>3.1076988824282541</v>
      </c>
      <c r="G693" s="306">
        <f t="shared" ca="1" si="301"/>
        <v>13.440142709924896</v>
      </c>
      <c r="H693" s="307">
        <f t="shared" ca="1" si="302"/>
        <v>-123.28054646798242</v>
      </c>
      <c r="I693" s="304">
        <f t="shared" ca="1" si="303"/>
        <v>124.01100988826565</v>
      </c>
      <c r="J693" s="306">
        <f t="shared" ca="1" si="304"/>
        <v>764.67878961306644</v>
      </c>
      <c r="K693" s="307">
        <f t="shared" ca="1" si="305"/>
        <v>-5.8989589526984103</v>
      </c>
      <c r="L693" s="304">
        <f t="shared" ca="1" si="290"/>
        <v>764.70154243392892</v>
      </c>
      <c r="M693" s="306">
        <f t="shared" ca="1" si="306"/>
        <v>-1.4622044047667999</v>
      </c>
      <c r="N693" s="304">
        <f t="shared" ca="1" si="307"/>
        <v>-83.778141178576348</v>
      </c>
      <c r="P693" s="310">
        <f t="shared" ca="1" si="308"/>
        <v>23</v>
      </c>
      <c r="Q693" s="304">
        <f t="shared" ca="1" si="309"/>
        <v>0</v>
      </c>
      <c r="R693" s="306">
        <f t="shared" ca="1" si="310"/>
        <v>0</v>
      </c>
      <c r="S693" s="307">
        <f t="shared" ca="1" si="311"/>
        <v>8.5499999999999989</v>
      </c>
      <c r="T693" s="304">
        <f t="shared" ca="1" si="291"/>
        <v>83.875499999999988</v>
      </c>
      <c r="U693" s="311">
        <f t="shared" ca="1" si="292"/>
        <v>0</v>
      </c>
      <c r="V693" s="306">
        <f t="shared" ca="1" si="293"/>
        <v>1.2257228356706029</v>
      </c>
      <c r="W693" s="304">
        <f t="shared" ca="1" si="294"/>
        <v>58.414333629859499</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2.9201699310158258</v>
      </c>
      <c r="AH693" s="304">
        <f t="shared" ca="1" si="318"/>
        <v>-6.8320452061806023</v>
      </c>
    </row>
    <row r="694" spans="1:34" x14ac:dyDescent="0.3">
      <c r="A694" s="347">
        <f t="shared" ca="1" si="296"/>
        <v>1E-4</v>
      </c>
      <c r="B694" s="304">
        <f t="shared" ca="1" si="297"/>
        <v>33.117900000000795</v>
      </c>
      <c r="D694" s="306">
        <f t="shared" ca="1" si="298"/>
        <v>-0.74045206392434304</v>
      </c>
      <c r="E694" s="307">
        <f t="shared" ca="1" si="299"/>
        <v>-3.0181573057605915</v>
      </c>
      <c r="F694" s="304">
        <f t="shared" ca="1" si="300"/>
        <v>3.1076587298617349</v>
      </c>
      <c r="G694" s="306">
        <f t="shared" ca="1" si="301"/>
        <v>13.440068664718503</v>
      </c>
      <c r="H694" s="307">
        <f t="shared" ca="1" si="302"/>
        <v>-123.280848283713</v>
      </c>
      <c r="I694" s="304">
        <f t="shared" ca="1" si="303"/>
        <v>124.01130190133564</v>
      </c>
      <c r="J694" s="306">
        <f t="shared" ca="1" si="304"/>
        <v>764.67878961306644</v>
      </c>
      <c r="K694" s="307">
        <f t="shared" ca="1" si="305"/>
        <v>-5.911287022435995</v>
      </c>
      <c r="L694" s="304">
        <f t="shared" ca="1" si="290"/>
        <v>764.70163763285211</v>
      </c>
      <c r="M694" s="306">
        <f t="shared" ca="1" si="306"/>
        <v>-1.4622052621034241</v>
      </c>
      <c r="N694" s="304">
        <f t="shared" ca="1" si="307"/>
        <v>-83.778190300346537</v>
      </c>
      <c r="P694" s="310">
        <f t="shared" ca="1" si="308"/>
        <v>23</v>
      </c>
      <c r="Q694" s="304">
        <f t="shared" ca="1" si="309"/>
        <v>0</v>
      </c>
      <c r="R694" s="306">
        <f t="shared" ca="1" si="310"/>
        <v>0</v>
      </c>
      <c r="S694" s="307">
        <f t="shared" ca="1" si="311"/>
        <v>8.5499999999999989</v>
      </c>
      <c r="T694" s="304">
        <f t="shared" ca="1" si="291"/>
        <v>83.875499999999988</v>
      </c>
      <c r="U694" s="311">
        <f t="shared" ca="1" si="292"/>
        <v>0</v>
      </c>
      <c r="V694" s="306">
        <f t="shared" ca="1" si="293"/>
        <v>1.2257243467513259</v>
      </c>
      <c r="W694" s="304">
        <f t="shared" ca="1" si="294"/>
        <v>58.414680744727235</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2.9201302440628174</v>
      </c>
      <c r="AH694" s="304">
        <f t="shared" ca="1" si="318"/>
        <v>-6.8320858046619302</v>
      </c>
    </row>
    <row r="695" spans="1:34" x14ac:dyDescent="0.3">
      <c r="A695" s="347">
        <f t="shared" ca="1" si="296"/>
        <v>1E-4</v>
      </c>
      <c r="B695" s="304">
        <f t="shared" ca="1" si="297"/>
        <v>33.118000000000798</v>
      </c>
      <c r="D695" s="306">
        <f t="shared" ca="1" si="298"/>
        <v>-0.74045064097433422</v>
      </c>
      <c r="E695" s="307">
        <f t="shared" ca="1" si="299"/>
        <v>-3.0181163118487007</v>
      </c>
      <c r="F695" s="304">
        <f t="shared" ca="1" si="300"/>
        <v>3.1076185775552485</v>
      </c>
      <c r="G695" s="306">
        <f t="shared" ca="1" si="301"/>
        <v>13.439994619654405</v>
      </c>
      <c r="H695" s="307">
        <f t="shared" ca="1" si="302"/>
        <v>-123.28115009534419</v>
      </c>
      <c r="I695" s="304">
        <f t="shared" ca="1" si="303"/>
        <v>124.01159391043694</v>
      </c>
      <c r="J695" s="306">
        <f t="shared" ca="1" si="304"/>
        <v>764.67878961306644</v>
      </c>
      <c r="K695" s="307">
        <f t="shared" ca="1" si="305"/>
        <v>-5.9236151223549482</v>
      </c>
      <c r="L695" s="304">
        <f t="shared" ca="1" si="290"/>
        <v>764.70173303074318</v>
      </c>
      <c r="M695" s="306">
        <f t="shared" ca="1" si="306"/>
        <v>-1.4622061194312872</v>
      </c>
      <c r="N695" s="304">
        <f t="shared" ca="1" si="307"/>
        <v>-83.778239421614742</v>
      </c>
      <c r="P695" s="310">
        <f t="shared" ca="1" si="308"/>
        <v>23</v>
      </c>
      <c r="Q695" s="304">
        <f t="shared" ca="1" si="309"/>
        <v>0</v>
      </c>
      <c r="R695" s="306">
        <f t="shared" ca="1" si="310"/>
        <v>0</v>
      </c>
      <c r="S695" s="307">
        <f t="shared" ca="1" si="311"/>
        <v>8.5499999999999989</v>
      </c>
      <c r="T695" s="304">
        <f t="shared" ca="1" si="291"/>
        <v>83.875499999999988</v>
      </c>
      <c r="U695" s="311">
        <f t="shared" ca="1" si="292"/>
        <v>0</v>
      </c>
      <c r="V695" s="306">
        <f t="shared" ca="1" si="293"/>
        <v>1.2257258578376118</v>
      </c>
      <c r="W695" s="304">
        <f t="shared" ca="1" si="294"/>
        <v>58.415027857447306</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2.9200905573445075</v>
      </c>
      <c r="AH695" s="304">
        <f t="shared" ca="1" si="318"/>
        <v>-6.832126402892075</v>
      </c>
    </row>
    <row r="696" spans="1:34" x14ac:dyDescent="0.3">
      <c r="A696" s="347">
        <f t="shared" ca="1" si="296"/>
        <v>1E-4</v>
      </c>
      <c r="B696" s="304">
        <f t="shared" ca="1" si="297"/>
        <v>33.118100000000801</v>
      </c>
      <c r="D696" s="306">
        <f t="shared" ca="1" si="298"/>
        <v>-0.74044921798685936</v>
      </c>
      <c r="E696" s="307">
        <f t="shared" ca="1" si="299"/>
        <v>-3.0180753181904549</v>
      </c>
      <c r="F696" s="304">
        <f t="shared" ca="1" si="300"/>
        <v>3.1075784255088026</v>
      </c>
      <c r="G696" s="306">
        <f t="shared" ca="1" si="301"/>
        <v>13.439920574732605</v>
      </c>
      <c r="H696" s="307">
        <f t="shared" ca="1" si="302"/>
        <v>-123.281451902876</v>
      </c>
      <c r="I696" s="304">
        <f t="shared" ca="1" si="303"/>
        <v>124.01188591556959</v>
      </c>
      <c r="J696" s="306">
        <f t="shared" ca="1" si="304"/>
        <v>764.67878961306644</v>
      </c>
      <c r="K696" s="307">
        <f t="shared" ca="1" si="305"/>
        <v>-5.9359432524548597</v>
      </c>
      <c r="L696" s="304">
        <f t="shared" ca="1" si="290"/>
        <v>764.7018286276035</v>
      </c>
      <c r="M696" s="306">
        <f t="shared" ca="1" si="306"/>
        <v>-1.4622069767503898</v>
      </c>
      <c r="N696" s="304">
        <f t="shared" ca="1" si="307"/>
        <v>-83.77828854238102</v>
      </c>
      <c r="P696" s="310">
        <f t="shared" ca="1" si="308"/>
        <v>23</v>
      </c>
      <c r="Q696" s="304">
        <f t="shared" ca="1" si="309"/>
        <v>0</v>
      </c>
      <c r="R696" s="306">
        <f t="shared" ca="1" si="310"/>
        <v>0</v>
      </c>
      <c r="S696" s="307">
        <f t="shared" ca="1" si="311"/>
        <v>8.5499999999999989</v>
      </c>
      <c r="T696" s="304">
        <f t="shared" ca="1" si="291"/>
        <v>83.875499999999988</v>
      </c>
      <c r="U696" s="311">
        <f t="shared" ca="1" si="292"/>
        <v>0</v>
      </c>
      <c r="V696" s="306">
        <f t="shared" ca="1" si="293"/>
        <v>1.2257273689294601</v>
      </c>
      <c r="W696" s="304">
        <f t="shared" ca="1" si="294"/>
        <v>58.415374968019677</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2.9200508708609059</v>
      </c>
      <c r="AH696" s="304">
        <f t="shared" ca="1" si="318"/>
        <v>-6.8321670008710305</v>
      </c>
    </row>
    <row r="697" spans="1:34" x14ac:dyDescent="0.3">
      <c r="A697" s="347">
        <f t="shared" ca="1" si="296"/>
        <v>1E-4</v>
      </c>
      <c r="B697" s="304">
        <f t="shared" ca="1" si="297"/>
        <v>33.118200000000805</v>
      </c>
      <c r="D697" s="306">
        <f t="shared" ca="1" si="298"/>
        <v>-0.74044779496191671</v>
      </c>
      <c r="E697" s="307">
        <f t="shared" ca="1" si="299"/>
        <v>-3.0180343247858561</v>
      </c>
      <c r="F697" s="304">
        <f t="shared" ca="1" si="300"/>
        <v>3.1075382737223984</v>
      </c>
      <c r="G697" s="306">
        <f t="shared" ca="1" si="301"/>
        <v>13.43984652995311</v>
      </c>
      <c r="H697" s="307">
        <f t="shared" ca="1" si="302"/>
        <v>-123.28175370630848</v>
      </c>
      <c r="I697" s="304">
        <f t="shared" ca="1" si="303"/>
        <v>124.01217791673363</v>
      </c>
      <c r="J697" s="306">
        <f t="shared" ca="1" si="304"/>
        <v>764.67878961306644</v>
      </c>
      <c r="K697" s="307">
        <f t="shared" ca="1" si="305"/>
        <v>-5.9482714127353189</v>
      </c>
      <c r="L697" s="304">
        <f t="shared" ca="1" si="290"/>
        <v>764.70192442343432</v>
      </c>
      <c r="M697" s="306">
        <f t="shared" ca="1" si="306"/>
        <v>-1.4622078340607316</v>
      </c>
      <c r="N697" s="304">
        <f t="shared" ca="1" si="307"/>
        <v>-83.778337662645342</v>
      </c>
      <c r="P697" s="310">
        <f t="shared" ca="1" si="308"/>
        <v>23</v>
      </c>
      <c r="Q697" s="304">
        <f t="shared" ca="1" si="309"/>
        <v>0</v>
      </c>
      <c r="R697" s="306">
        <f t="shared" ca="1" si="310"/>
        <v>0</v>
      </c>
      <c r="S697" s="307">
        <f t="shared" ca="1" si="311"/>
        <v>8.5499999999999989</v>
      </c>
      <c r="T697" s="304">
        <f t="shared" ca="1" si="291"/>
        <v>83.875499999999988</v>
      </c>
      <c r="U697" s="311">
        <f t="shared" ca="1" si="292"/>
        <v>0</v>
      </c>
      <c r="V697" s="306">
        <f t="shared" ca="1" si="293"/>
        <v>1.2257288800268717</v>
      </c>
      <c r="W697" s="304">
        <f t="shared" ca="1" si="294"/>
        <v>58.415722076444432</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2.9200111846120143</v>
      </c>
      <c r="AH697" s="304">
        <f t="shared" ca="1" si="318"/>
        <v>-6.8322075985987931</v>
      </c>
    </row>
    <row r="698" spans="1:34" x14ac:dyDescent="0.3">
      <c r="A698" s="347">
        <f t="shared" ca="1" si="296"/>
        <v>1E-4</v>
      </c>
      <c r="B698" s="304">
        <f t="shared" ca="1" si="297"/>
        <v>33.118300000000808</v>
      </c>
      <c r="D698" s="306">
        <f t="shared" ca="1" si="298"/>
        <v>-0.74044637189951079</v>
      </c>
      <c r="E698" s="307">
        <f t="shared" ca="1" si="299"/>
        <v>-3.017993331634897</v>
      </c>
      <c r="F698" s="304">
        <f t="shared" ca="1" si="300"/>
        <v>3.1074981221960303</v>
      </c>
      <c r="G698" s="306">
        <f t="shared" ca="1" si="301"/>
        <v>13.43977248531592</v>
      </c>
      <c r="H698" s="307">
        <f t="shared" ca="1" si="302"/>
        <v>-123.28205550564164</v>
      </c>
      <c r="I698" s="304">
        <f t="shared" ca="1" si="303"/>
        <v>124.01246991392905</v>
      </c>
      <c r="J698" s="306">
        <f t="shared" ca="1" si="304"/>
        <v>764.67878961306644</v>
      </c>
      <c r="K698" s="307">
        <f t="shared" ca="1" si="305"/>
        <v>-5.9605996031959165</v>
      </c>
      <c r="L698" s="304">
        <f t="shared" ca="1" si="290"/>
        <v>764.70202041823711</v>
      </c>
      <c r="M698" s="306">
        <f t="shared" ca="1" si="306"/>
        <v>-1.4622086913623134</v>
      </c>
      <c r="N698" s="304">
        <f t="shared" ca="1" si="307"/>
        <v>-83.77838678240775</v>
      </c>
      <c r="P698" s="310">
        <f t="shared" ca="1" si="308"/>
        <v>23</v>
      </c>
      <c r="Q698" s="304">
        <f t="shared" ca="1" si="309"/>
        <v>0</v>
      </c>
      <c r="R698" s="306">
        <f t="shared" ca="1" si="310"/>
        <v>0</v>
      </c>
      <c r="S698" s="307">
        <f t="shared" ca="1" si="311"/>
        <v>8.5499999999999989</v>
      </c>
      <c r="T698" s="304">
        <f t="shared" ca="1" si="291"/>
        <v>83.875499999999988</v>
      </c>
      <c r="U698" s="311">
        <f t="shared" ca="1" si="292"/>
        <v>0</v>
      </c>
      <c r="V698" s="306">
        <f t="shared" ca="1" si="293"/>
        <v>1.2257303911298458</v>
      </c>
      <c r="W698" s="304">
        <f t="shared" ca="1" si="294"/>
        <v>58.416069182721458</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2.9199714985978229</v>
      </c>
      <c r="AH698" s="304">
        <f t="shared" ca="1" si="318"/>
        <v>-6.8322481960753727</v>
      </c>
    </row>
    <row r="699" spans="1:34" x14ac:dyDescent="0.3">
      <c r="A699" s="347">
        <f t="shared" ca="1" si="296"/>
        <v>1E-4</v>
      </c>
      <c r="B699" s="304">
        <f t="shared" ca="1" si="297"/>
        <v>33.118400000000811</v>
      </c>
      <c r="D699" s="306">
        <f t="shared" ca="1" si="298"/>
        <v>-0.74044494879963696</v>
      </c>
      <c r="E699" s="307">
        <f t="shared" ca="1" si="299"/>
        <v>-3.0179523387375884</v>
      </c>
      <c r="F699" s="304">
        <f t="shared" ca="1" si="300"/>
        <v>3.1074579709297079</v>
      </c>
      <c r="G699" s="306">
        <f t="shared" ca="1" si="301"/>
        <v>13.43969844082104</v>
      </c>
      <c r="H699" s="307">
        <f t="shared" ca="1" si="302"/>
        <v>-123.28235730087552</v>
      </c>
      <c r="I699" s="304">
        <f t="shared" ca="1" si="303"/>
        <v>124.01276190715592</v>
      </c>
      <c r="J699" s="306">
        <f t="shared" ca="1" si="304"/>
        <v>764.67878961306644</v>
      </c>
      <c r="K699" s="307">
        <f t="shared" ca="1" si="305"/>
        <v>-5.9729278238362422</v>
      </c>
      <c r="L699" s="304">
        <f t="shared" ca="1" si="290"/>
        <v>764.70211661201324</v>
      </c>
      <c r="M699" s="306">
        <f t="shared" ca="1" si="306"/>
        <v>-1.4622095486551345</v>
      </c>
      <c r="N699" s="304">
        <f t="shared" ca="1" si="307"/>
        <v>-83.778435901668203</v>
      </c>
      <c r="P699" s="310">
        <f t="shared" ca="1" si="308"/>
        <v>23</v>
      </c>
      <c r="Q699" s="304">
        <f t="shared" ca="1" si="309"/>
        <v>0</v>
      </c>
      <c r="R699" s="306">
        <f t="shared" ca="1" si="310"/>
        <v>0</v>
      </c>
      <c r="S699" s="307">
        <f t="shared" ca="1" si="311"/>
        <v>8.5499999999999989</v>
      </c>
      <c r="T699" s="304">
        <f t="shared" ca="1" si="291"/>
        <v>83.875499999999988</v>
      </c>
      <c r="U699" s="311">
        <f t="shared" ca="1" si="292"/>
        <v>0</v>
      </c>
      <c r="V699" s="306">
        <f t="shared" ca="1" si="293"/>
        <v>1.2257319022383824</v>
      </c>
      <c r="W699" s="304">
        <f t="shared" ca="1" si="294"/>
        <v>58.41641628685079</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2.9199318128183487</v>
      </c>
      <c r="AH699" s="304">
        <f t="shared" ca="1" si="318"/>
        <v>-6.8322887933007559</v>
      </c>
    </row>
    <row r="700" spans="1:34" x14ac:dyDescent="0.3">
      <c r="A700" s="347">
        <f t="shared" ca="1" si="296"/>
        <v>1E-4</v>
      </c>
      <c r="B700" s="304">
        <f t="shared" ca="1" si="297"/>
        <v>33.118500000000815</v>
      </c>
      <c r="D700" s="306">
        <f t="shared" ca="1" si="298"/>
        <v>-0.74044352566230087</v>
      </c>
      <c r="E700" s="307">
        <f t="shared" ca="1" si="299"/>
        <v>-3.0179113460939275</v>
      </c>
      <c r="F700" s="304">
        <f t="shared" ca="1" si="300"/>
        <v>3.1074178199234295</v>
      </c>
      <c r="G700" s="306">
        <f t="shared" ca="1" si="301"/>
        <v>13.439624396468474</v>
      </c>
      <c r="H700" s="307">
        <f t="shared" ca="1" si="302"/>
        <v>-123.28265909201012</v>
      </c>
      <c r="I700" s="304">
        <f t="shared" ca="1" si="303"/>
        <v>124.01305389641421</v>
      </c>
      <c r="J700" s="306">
        <f t="shared" ca="1" si="304"/>
        <v>764.67878961306644</v>
      </c>
      <c r="K700" s="307">
        <f t="shared" ca="1" si="305"/>
        <v>-5.9852560746558865</v>
      </c>
      <c r="L700" s="304">
        <f t="shared" ca="1" si="290"/>
        <v>764.70221300476408</v>
      </c>
      <c r="M700" s="306">
        <f t="shared" ca="1" si="306"/>
        <v>-1.4622104059391958</v>
      </c>
      <c r="N700" s="304">
        <f t="shared" ca="1" si="307"/>
        <v>-83.778485020426757</v>
      </c>
      <c r="P700" s="310">
        <f t="shared" ca="1" si="308"/>
        <v>23</v>
      </c>
      <c r="Q700" s="304">
        <f t="shared" ca="1" si="309"/>
        <v>0</v>
      </c>
      <c r="R700" s="306">
        <f t="shared" ca="1" si="310"/>
        <v>0</v>
      </c>
      <c r="S700" s="307">
        <f t="shared" ca="1" si="311"/>
        <v>8.5499999999999989</v>
      </c>
      <c r="T700" s="304">
        <f t="shared" ca="1" si="291"/>
        <v>83.875499999999988</v>
      </c>
      <c r="U700" s="311">
        <f t="shared" ca="1" si="292"/>
        <v>0</v>
      </c>
      <c r="V700" s="306">
        <f t="shared" ca="1" si="293"/>
        <v>1.2257334133524815</v>
      </c>
      <c r="W700" s="304">
        <f t="shared" ca="1" si="294"/>
        <v>58.416763388832365</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2.9198921272735836</v>
      </c>
      <c r="AH700" s="304">
        <f t="shared" ca="1" si="318"/>
        <v>-6.8323293902749471</v>
      </c>
    </row>
    <row r="701" spans="1:34" x14ac:dyDescent="0.3">
      <c r="A701" s="347">
        <f t="shared" ca="1" si="296"/>
        <v>1E-4</v>
      </c>
      <c r="B701" s="304">
        <f t="shared" ca="1" si="297"/>
        <v>33.118600000000818</v>
      </c>
      <c r="D701" s="306">
        <f t="shared" ca="1" si="298"/>
        <v>-0.74044210248749842</v>
      </c>
      <c r="E701" s="307">
        <f t="shared" ca="1" si="299"/>
        <v>-3.0178703537039215</v>
      </c>
      <c r="F701" s="304">
        <f t="shared" ca="1" si="300"/>
        <v>3.1073776691772017</v>
      </c>
      <c r="G701" s="306">
        <f t="shared" ca="1" si="301"/>
        <v>13.439550352258225</v>
      </c>
      <c r="H701" s="307">
        <f t="shared" ca="1" si="302"/>
        <v>-123.28296087904549</v>
      </c>
      <c r="I701" s="304">
        <f t="shared" ca="1" si="303"/>
        <v>124.01334588170397</v>
      </c>
      <c r="J701" s="306">
        <f t="shared" ca="1" si="304"/>
        <v>764.67878961306644</v>
      </c>
      <c r="K701" s="307">
        <f t="shared" ca="1" si="305"/>
        <v>-5.997584355654439</v>
      </c>
      <c r="L701" s="304">
        <f t="shared" ca="1" si="290"/>
        <v>764.70230959649098</v>
      </c>
      <c r="M701" s="306">
        <f t="shared" ca="1" si="306"/>
        <v>-1.4622112632144968</v>
      </c>
      <c r="N701" s="304">
        <f t="shared" ca="1" si="307"/>
        <v>-83.778534138683384</v>
      </c>
      <c r="P701" s="310">
        <f t="shared" ca="1" si="308"/>
        <v>23</v>
      </c>
      <c r="Q701" s="304">
        <f t="shared" ca="1" si="309"/>
        <v>0</v>
      </c>
      <c r="R701" s="306">
        <f t="shared" ca="1" si="310"/>
        <v>0</v>
      </c>
      <c r="S701" s="307">
        <f t="shared" ca="1" si="311"/>
        <v>8.5499999999999989</v>
      </c>
      <c r="T701" s="304">
        <f t="shared" ca="1" si="291"/>
        <v>83.875499999999988</v>
      </c>
      <c r="U701" s="311">
        <f t="shared" ca="1" si="292"/>
        <v>0</v>
      </c>
      <c r="V701" s="306">
        <f t="shared" ca="1" si="293"/>
        <v>1.2257349244721434</v>
      </c>
      <c r="W701" s="304">
        <f t="shared" ca="1" si="294"/>
        <v>58.417110488666239</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2.9198524419635392</v>
      </c>
      <c r="AH701" s="304">
        <f t="shared" ca="1" si="318"/>
        <v>-6.8323699869979384</v>
      </c>
    </row>
    <row r="702" spans="1:34" x14ac:dyDescent="0.3">
      <c r="A702" s="347">
        <f t="shared" ca="1" si="296"/>
        <v>1E-4</v>
      </c>
      <c r="B702" s="304">
        <f t="shared" ca="1" si="297"/>
        <v>33.118700000000821</v>
      </c>
      <c r="D702" s="306">
        <f t="shared" ca="1" si="298"/>
        <v>-0.74044067927523538</v>
      </c>
      <c r="E702" s="307">
        <f t="shared" ca="1" si="299"/>
        <v>-3.0178293615675633</v>
      </c>
      <c r="F702" s="304">
        <f t="shared" ca="1" si="300"/>
        <v>3.1073375186910188</v>
      </c>
      <c r="G702" s="306">
        <f t="shared" ca="1" si="301"/>
        <v>13.439476308190297</v>
      </c>
      <c r="H702" s="307">
        <f t="shared" ca="1" si="302"/>
        <v>-123.28326266198165</v>
      </c>
      <c r="I702" s="304">
        <f t="shared" ca="1" si="303"/>
        <v>124.01363786302524</v>
      </c>
      <c r="J702" s="306">
        <f t="shared" ca="1" si="304"/>
        <v>764.67878961306644</v>
      </c>
      <c r="K702" s="307">
        <f t="shared" ca="1" si="305"/>
        <v>-6.0099126668314904</v>
      </c>
      <c r="L702" s="304">
        <f t="shared" ca="1" si="290"/>
        <v>764.70240638719531</v>
      </c>
      <c r="M702" s="306">
        <f t="shared" ca="1" si="306"/>
        <v>-1.4622121204810381</v>
      </c>
      <c r="N702" s="304">
        <f t="shared" ca="1" si="307"/>
        <v>-83.778583256438125</v>
      </c>
      <c r="P702" s="310">
        <f t="shared" ca="1" si="308"/>
        <v>23</v>
      </c>
      <c r="Q702" s="304">
        <f t="shared" ca="1" si="309"/>
        <v>0</v>
      </c>
      <c r="R702" s="306">
        <f t="shared" ca="1" si="310"/>
        <v>0</v>
      </c>
      <c r="S702" s="307">
        <f t="shared" ca="1" si="311"/>
        <v>8.5499999999999989</v>
      </c>
      <c r="T702" s="304">
        <f t="shared" ca="1" si="291"/>
        <v>83.875499999999988</v>
      </c>
      <c r="U702" s="311">
        <f t="shared" ca="1" si="292"/>
        <v>0</v>
      </c>
      <c r="V702" s="306">
        <f t="shared" ca="1" si="293"/>
        <v>1.2257364355973683</v>
      </c>
      <c r="W702" s="304">
        <f t="shared" ca="1" si="294"/>
        <v>58.417457586352398</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2.9198127568882066</v>
      </c>
      <c r="AH702" s="304">
        <f t="shared" ca="1" si="318"/>
        <v>-6.8324105834697368</v>
      </c>
    </row>
    <row r="703" spans="1:34" x14ac:dyDescent="0.3">
      <c r="A703" s="347">
        <f t="shared" ca="1" si="296"/>
        <v>1E-4</v>
      </c>
      <c r="B703" s="304">
        <f t="shared" ca="1" si="297"/>
        <v>33.118800000000824</v>
      </c>
      <c r="D703" s="306">
        <f t="shared" ca="1" si="298"/>
        <v>-0.74043925602550864</v>
      </c>
      <c r="E703" s="307">
        <f t="shared" ca="1" si="299"/>
        <v>-3.0177883696848564</v>
      </c>
      <c r="F703" s="304">
        <f t="shared" ca="1" si="300"/>
        <v>3.1072973684648839</v>
      </c>
      <c r="G703" s="306">
        <f t="shared" ca="1" si="301"/>
        <v>13.439402264264695</v>
      </c>
      <c r="H703" s="307">
        <f t="shared" ca="1" si="302"/>
        <v>-123.28356444081862</v>
      </c>
      <c r="I703" s="304">
        <f t="shared" ca="1" si="303"/>
        <v>124.01392984037801</v>
      </c>
      <c r="J703" s="306">
        <f t="shared" ca="1" si="304"/>
        <v>764.67878961306644</v>
      </c>
      <c r="K703" s="307">
        <f t="shared" ca="1" si="305"/>
        <v>-6.0222410081866302</v>
      </c>
      <c r="L703" s="304">
        <f t="shared" ca="1" si="290"/>
        <v>764.70250337687855</v>
      </c>
      <c r="M703" s="306">
        <f t="shared" ca="1" si="306"/>
        <v>-1.4622129777388198</v>
      </c>
      <c r="N703" s="304">
        <f t="shared" ca="1" si="307"/>
        <v>-83.778632373690968</v>
      </c>
      <c r="P703" s="310">
        <f t="shared" ca="1" si="308"/>
        <v>23</v>
      </c>
      <c r="Q703" s="304">
        <f t="shared" ca="1" si="309"/>
        <v>0</v>
      </c>
      <c r="R703" s="306">
        <f t="shared" ca="1" si="310"/>
        <v>0</v>
      </c>
      <c r="S703" s="307">
        <f t="shared" ca="1" si="311"/>
        <v>8.5499999999999989</v>
      </c>
      <c r="T703" s="304">
        <f t="shared" ca="1" si="291"/>
        <v>83.875499999999988</v>
      </c>
      <c r="U703" s="311">
        <f t="shared" ca="1" si="292"/>
        <v>0</v>
      </c>
      <c r="V703" s="306">
        <f t="shared" ca="1" si="293"/>
        <v>1.2257379467281555</v>
      </c>
      <c r="W703" s="304">
        <f t="shared" ca="1" si="294"/>
        <v>58.41780468189075</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2.9197730720475903</v>
      </c>
      <c r="AH703" s="304">
        <f t="shared" ca="1" si="318"/>
        <v>-6.8324511796903398</v>
      </c>
    </row>
    <row r="704" spans="1:34" x14ac:dyDescent="0.3">
      <c r="A704" s="347">
        <f t="shared" ca="1" si="296"/>
        <v>1E-4</v>
      </c>
      <c r="B704" s="304">
        <f t="shared" ca="1" si="297"/>
        <v>33.118900000000828</v>
      </c>
      <c r="D704" s="306">
        <f t="shared" ca="1" si="298"/>
        <v>-0.74043783273831876</v>
      </c>
      <c r="E704" s="307">
        <f t="shared" ca="1" si="299"/>
        <v>-3.0177473780558097</v>
      </c>
      <c r="F704" s="304">
        <f t="shared" ca="1" si="300"/>
        <v>3.1072572184988054</v>
      </c>
      <c r="G704" s="306">
        <f t="shared" ca="1" si="301"/>
        <v>13.439328220481421</v>
      </c>
      <c r="H704" s="307">
        <f t="shared" ca="1" si="302"/>
        <v>-123.28386621555643</v>
      </c>
      <c r="I704" s="304">
        <f t="shared" ca="1" si="303"/>
        <v>124.01422181376233</v>
      </c>
      <c r="J704" s="306">
        <f t="shared" ca="1" si="304"/>
        <v>764.67878961306644</v>
      </c>
      <c r="K704" s="307">
        <f t="shared" ca="1" si="305"/>
        <v>-6.0345693797194491</v>
      </c>
      <c r="L704" s="304">
        <f t="shared" ca="1" si="290"/>
        <v>764.70260056554207</v>
      </c>
      <c r="M704" s="306">
        <f t="shared" ca="1" si="306"/>
        <v>-1.4622138349878417</v>
      </c>
      <c r="N704" s="304">
        <f t="shared" ca="1" si="307"/>
        <v>-83.778681490441926</v>
      </c>
      <c r="P704" s="310">
        <f t="shared" ca="1" si="308"/>
        <v>23</v>
      </c>
      <c r="Q704" s="304">
        <f t="shared" ca="1" si="309"/>
        <v>0</v>
      </c>
      <c r="R704" s="306">
        <f t="shared" ca="1" si="310"/>
        <v>0</v>
      </c>
      <c r="S704" s="307">
        <f t="shared" ca="1" si="311"/>
        <v>8.5499999999999989</v>
      </c>
      <c r="T704" s="304">
        <f t="shared" ca="1" si="291"/>
        <v>83.875499999999988</v>
      </c>
      <c r="U704" s="311">
        <f t="shared" ca="1" si="292"/>
        <v>0</v>
      </c>
      <c r="V704" s="306">
        <f t="shared" ca="1" si="293"/>
        <v>1.2257394578645053</v>
      </c>
      <c r="W704" s="304">
        <f t="shared" ca="1" si="294"/>
        <v>58.418151775281373</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2.9197333874416982</v>
      </c>
      <c r="AH704" s="304">
        <f t="shared" ca="1" si="318"/>
        <v>-6.8324917756597374</v>
      </c>
    </row>
    <row r="705" spans="1:34" x14ac:dyDescent="0.3">
      <c r="A705" s="347">
        <f t="shared" ca="1" si="296"/>
        <v>1E-4</v>
      </c>
      <c r="B705" s="304">
        <f t="shared" ca="1" si="297"/>
        <v>33.119000000000831</v>
      </c>
      <c r="D705" s="306">
        <f t="shared" ca="1" si="298"/>
        <v>-0.74043640941366839</v>
      </c>
      <c r="E705" s="307">
        <f t="shared" ca="1" si="299"/>
        <v>-3.0177063866804144</v>
      </c>
      <c r="F705" s="304">
        <f t="shared" ca="1" si="300"/>
        <v>3.1072170687927754</v>
      </c>
      <c r="G705" s="306">
        <f t="shared" ca="1" si="301"/>
        <v>13.43925417684048</v>
      </c>
      <c r="H705" s="307">
        <f t="shared" ca="1" si="302"/>
        <v>-123.2841679861951</v>
      </c>
      <c r="I705" s="304">
        <f t="shared" ca="1" si="303"/>
        <v>124.0145137831782</v>
      </c>
      <c r="J705" s="306">
        <f t="shared" ca="1" si="304"/>
        <v>764.67878961306644</v>
      </c>
      <c r="K705" s="307">
        <f t="shared" ca="1" si="305"/>
        <v>-6.0468977814295366</v>
      </c>
      <c r="L705" s="304">
        <f t="shared" ca="1" si="290"/>
        <v>764.70269795318711</v>
      </c>
      <c r="M705" s="306">
        <f t="shared" ca="1" si="306"/>
        <v>-1.4622146922281043</v>
      </c>
      <c r="N705" s="304">
        <f t="shared" ca="1" si="307"/>
        <v>-83.778730606690999</v>
      </c>
      <c r="P705" s="310">
        <f t="shared" ca="1" si="308"/>
        <v>23</v>
      </c>
      <c r="Q705" s="304">
        <f t="shared" ca="1" si="309"/>
        <v>0</v>
      </c>
      <c r="R705" s="306">
        <f t="shared" ca="1" si="310"/>
        <v>0</v>
      </c>
      <c r="S705" s="307">
        <f t="shared" ca="1" si="311"/>
        <v>8.5499999999999989</v>
      </c>
      <c r="T705" s="304">
        <f t="shared" ca="1" si="291"/>
        <v>83.875499999999988</v>
      </c>
      <c r="U705" s="311">
        <f t="shared" ca="1" si="292"/>
        <v>0</v>
      </c>
      <c r="V705" s="306">
        <f t="shared" ca="1" si="293"/>
        <v>1.2257409690064174</v>
      </c>
      <c r="W705" s="304">
        <f t="shared" ca="1" si="294"/>
        <v>58.41849886652416</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2.9196937030705241</v>
      </c>
      <c r="AH705" s="304">
        <f t="shared" ca="1" si="318"/>
        <v>-6.8325323713779396</v>
      </c>
    </row>
    <row r="706" spans="1:34" x14ac:dyDescent="0.3">
      <c r="A706" s="347">
        <f t="shared" ca="1" si="296"/>
        <v>1E-4</v>
      </c>
      <c r="B706" s="304">
        <f t="shared" ca="1" si="297"/>
        <v>33.119100000000834</v>
      </c>
      <c r="D706" s="306">
        <f t="shared" ca="1" si="298"/>
        <v>-0.74043498605155655</v>
      </c>
      <c r="E706" s="307">
        <f t="shared" ca="1" si="299"/>
        <v>-3.0176653955586827</v>
      </c>
      <c r="F706" s="304">
        <f t="shared" ca="1" si="300"/>
        <v>3.1071769193468062</v>
      </c>
      <c r="G706" s="306">
        <f t="shared" ca="1" si="301"/>
        <v>13.439180133341875</v>
      </c>
      <c r="H706" s="307">
        <f t="shared" ca="1" si="302"/>
        <v>-123.28446975273465</v>
      </c>
      <c r="I706" s="304">
        <f t="shared" ca="1" si="303"/>
        <v>124.01480574862566</v>
      </c>
      <c r="J706" s="306">
        <f t="shared" ca="1" si="304"/>
        <v>764.67878961306644</v>
      </c>
      <c r="K706" s="307">
        <f t="shared" ca="1" si="305"/>
        <v>-6.0592262133164834</v>
      </c>
      <c r="L706" s="304">
        <f t="shared" ca="1" si="290"/>
        <v>764.70279553981527</v>
      </c>
      <c r="M706" s="306">
        <f t="shared" ca="1" si="306"/>
        <v>-1.4622155494596076</v>
      </c>
      <c r="N706" s="304">
        <f t="shared" ca="1" si="307"/>
        <v>-83.778779722438202</v>
      </c>
      <c r="P706" s="310">
        <f t="shared" ca="1" si="308"/>
        <v>23</v>
      </c>
      <c r="Q706" s="304">
        <f t="shared" ca="1" si="309"/>
        <v>0</v>
      </c>
      <c r="R706" s="306">
        <f t="shared" ca="1" si="310"/>
        <v>0</v>
      </c>
      <c r="S706" s="307">
        <f t="shared" ca="1" si="311"/>
        <v>8.5499999999999989</v>
      </c>
      <c r="T706" s="304">
        <f t="shared" ca="1" si="291"/>
        <v>83.875499999999988</v>
      </c>
      <c r="U706" s="311">
        <f t="shared" ca="1" si="292"/>
        <v>0</v>
      </c>
      <c r="V706" s="306">
        <f t="shared" ca="1" si="293"/>
        <v>1.2257424801538921</v>
      </c>
      <c r="W706" s="304">
        <f t="shared" ca="1" si="294"/>
        <v>58.418845955619169</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2.9196540189340823</v>
      </c>
      <c r="AH706" s="304">
        <f t="shared" ca="1" si="318"/>
        <v>-6.832572966844932</v>
      </c>
    </row>
    <row r="707" spans="1:34" x14ac:dyDescent="0.3">
      <c r="A707" s="347">
        <f t="shared" ca="1" si="296"/>
        <v>1E-4</v>
      </c>
      <c r="B707" s="304">
        <f t="shared" ca="1" si="297"/>
        <v>33.119200000000838</v>
      </c>
      <c r="D707" s="306">
        <f t="shared" ca="1" si="298"/>
        <v>-0.74043356265198401</v>
      </c>
      <c r="E707" s="307">
        <f t="shared" ca="1" si="299"/>
        <v>-3.0176244046906096</v>
      </c>
      <c r="F707" s="304">
        <f t="shared" ca="1" si="300"/>
        <v>3.107136770160893</v>
      </c>
      <c r="G707" s="306">
        <f t="shared" ca="1" si="301"/>
        <v>13.439106089985609</v>
      </c>
      <c r="H707" s="307">
        <f t="shared" ca="1" si="302"/>
        <v>-123.28477151517512</v>
      </c>
      <c r="I707" s="304">
        <f t="shared" ca="1" si="303"/>
        <v>124.01509771010473</v>
      </c>
      <c r="J707" s="306">
        <f t="shared" ca="1" si="304"/>
        <v>764.67878961306644</v>
      </c>
      <c r="K707" s="307">
        <f t="shared" ca="1" si="305"/>
        <v>-6.071554675379879</v>
      </c>
      <c r="L707" s="304">
        <f t="shared" ca="1" si="290"/>
        <v>764.70289332542768</v>
      </c>
      <c r="M707" s="306">
        <f t="shared" ca="1" si="306"/>
        <v>-1.4622164066823515</v>
      </c>
      <c r="N707" s="304">
        <f t="shared" ca="1" si="307"/>
        <v>-83.778828837683534</v>
      </c>
      <c r="P707" s="310">
        <f t="shared" ca="1" si="308"/>
        <v>23</v>
      </c>
      <c r="Q707" s="304">
        <f t="shared" ca="1" si="309"/>
        <v>0</v>
      </c>
      <c r="R707" s="306">
        <f t="shared" ca="1" si="310"/>
        <v>0</v>
      </c>
      <c r="S707" s="307">
        <f t="shared" ca="1" si="311"/>
        <v>8.5499999999999989</v>
      </c>
      <c r="T707" s="304">
        <f t="shared" ca="1" si="291"/>
        <v>83.875499999999988</v>
      </c>
      <c r="U707" s="311">
        <f t="shared" ca="1" si="292"/>
        <v>0</v>
      </c>
      <c r="V707" s="306">
        <f t="shared" ca="1" si="293"/>
        <v>1.2257439913069288</v>
      </c>
      <c r="W707" s="304">
        <f t="shared" ca="1" si="294"/>
        <v>58.419193042566327</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2.9196143350323611</v>
      </c>
      <c r="AH707" s="304">
        <f t="shared" ca="1" si="318"/>
        <v>-6.8326135620607227</v>
      </c>
    </row>
    <row r="708" spans="1:34" x14ac:dyDescent="0.3">
      <c r="A708" s="347">
        <f t="shared" ca="1" si="296"/>
        <v>1E-4</v>
      </c>
      <c r="B708" s="304">
        <f t="shared" ca="1" si="297"/>
        <v>33.119300000000841</v>
      </c>
      <c r="D708" s="306">
        <f t="shared" ca="1" si="298"/>
        <v>-0.7404321392149531</v>
      </c>
      <c r="E708" s="307">
        <f t="shared" ca="1" si="299"/>
        <v>-3.0175834140762028</v>
      </c>
      <c r="F708" s="304">
        <f t="shared" ca="1" si="300"/>
        <v>3.1070966212350437</v>
      </c>
      <c r="G708" s="306">
        <f t="shared" ca="1" si="301"/>
        <v>13.439032046771688</v>
      </c>
      <c r="H708" s="307">
        <f t="shared" ca="1" si="302"/>
        <v>-123.28507327351653</v>
      </c>
      <c r="I708" s="304">
        <f t="shared" ca="1" si="303"/>
        <v>124.01538966761544</v>
      </c>
      <c r="J708" s="306">
        <f t="shared" ca="1" si="304"/>
        <v>764.67878961306644</v>
      </c>
      <c r="K708" s="307">
        <f t="shared" ca="1" si="305"/>
        <v>-6.0838831676193132</v>
      </c>
      <c r="L708" s="304">
        <f t="shared" ref="L708:L771" ca="1" si="319">SQRT(pos_x^2+pos_z^2)</f>
        <v>764.70299131002594</v>
      </c>
      <c r="M708" s="306">
        <f t="shared" ca="1" si="306"/>
        <v>-1.4622172638963367</v>
      </c>
      <c r="N708" s="304">
        <f t="shared" ca="1" si="307"/>
        <v>-83.77887795242701</v>
      </c>
      <c r="P708" s="310">
        <f t="shared" ca="1" si="308"/>
        <v>23</v>
      </c>
      <c r="Q708" s="304">
        <f t="shared" ca="1" si="309"/>
        <v>0</v>
      </c>
      <c r="R708" s="306">
        <f t="shared" ca="1" si="310"/>
        <v>0</v>
      </c>
      <c r="S708" s="307">
        <f t="shared" ca="1" si="311"/>
        <v>8.5499999999999989</v>
      </c>
      <c r="T708" s="304">
        <f t="shared" ref="T708:T771" ca="1" si="320">m*g</f>
        <v>83.875499999999988</v>
      </c>
      <c r="U708" s="311">
        <f t="shared" ref="U708:U771" ca="1" si="321">IF(pos_xz&lt;L_rampe,Poids*COS(Beta),0)</f>
        <v>0</v>
      </c>
      <c r="V708" s="306">
        <f t="shared" ref="V708:V771" ca="1" si="322">Rho_moyen*(20000-Alt_rampe-pos_z)/(20000+Alt_rampe+pos_z)</f>
        <v>1.2257455024655286</v>
      </c>
      <c r="W708" s="304">
        <f t="shared" ref="W708:W771" ca="1" si="323">1/2*Rho*Sref*Cx*vit_xz^2</f>
        <v>58.419540127365721</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2.919574651365374</v>
      </c>
      <c r="AH708" s="304">
        <f t="shared" ca="1" si="318"/>
        <v>-6.8326541570253019</v>
      </c>
    </row>
    <row r="709" spans="1:34" x14ac:dyDescent="0.3">
      <c r="A709" s="347">
        <f t="shared" ref="A709:A772" ca="1" si="325">IF(B708+0.01&lt;=T_ini+ROUNDUP(Temps_fin_propu,0), 0.01, IF(K708&gt;0, 0.1, 0.0001))</f>
        <v>1E-4</v>
      </c>
      <c r="B709" s="304">
        <f t="shared" ref="B709:B772" ca="1" si="326">B708+pas</f>
        <v>33.119400000000844</v>
      </c>
      <c r="D709" s="306">
        <f t="shared" ref="D709:D772" ca="1" si="327">IF(AND(L708&lt;L_rampe,Poussee&lt;Poids*SIN(M708)),0,(-W708+Poussee)/m*COS(M708)-U708/m*SIN(M708))</f>
        <v>-0.74043071574046226</v>
      </c>
      <c r="E709" s="307">
        <f t="shared" ref="E709:E772" ca="1" si="328">IF(AND(L708&lt;L_rampe,Poussee&lt;Poids*SIN(M708)),0,(-W708+Poussee)/m*SIN(M708)+U708/m*COS(M708)-Poids/m)</f>
        <v>-3.01754242371545</v>
      </c>
      <c r="F709" s="304">
        <f t="shared" ref="F709:F772" ca="1" si="329">SQRT(acc_x^2+acc_z^2)</f>
        <v>3.107056472569246</v>
      </c>
      <c r="G709" s="306">
        <f t="shared" ref="G709:G772" ca="1" si="330">G708+acc_x*pas</f>
        <v>13.438958003700114</v>
      </c>
      <c r="H709" s="307">
        <f t="shared" ref="H709:H772" ca="1" si="331">H708+acc_z*pas</f>
        <v>-123.2853750277589</v>
      </c>
      <c r="I709" s="304">
        <f t="shared" ref="I709:I772" ca="1" si="332">SQRT(vit_x^2+vit_z^2)</f>
        <v>124.01568162115778</v>
      </c>
      <c r="J709" s="306">
        <f t="shared" ref="J709:J772" ca="1" si="333">J708+0.5*(vit_x+G708)*pas*(K708&gt;=0)</f>
        <v>764.67878961306644</v>
      </c>
      <c r="K709" s="307">
        <f t="shared" ref="K709:K772" ca="1" si="334">K708+0.5*(vit_z+H708)*pas</f>
        <v>-6.0962116900343775</v>
      </c>
      <c r="L709" s="304">
        <f t="shared" ca="1" si="319"/>
        <v>764.70308949361129</v>
      </c>
      <c r="M709" s="306">
        <f t="shared" ref="M709:M772" ca="1" si="335">IF(AND(L708&gt;L_rampe,G709&gt;0),ATAN2(G709,H709),$M$4)</f>
        <v>-1.4622181211015628</v>
      </c>
      <c r="N709" s="304">
        <f t="shared" ref="N709:N772" ca="1" si="336">DEGREES(Beta)</f>
        <v>-83.778927066668643</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8.5499999999999989</v>
      </c>
      <c r="T709" s="304">
        <f t="shared" ca="1" si="320"/>
        <v>83.875499999999988</v>
      </c>
      <c r="U709" s="311">
        <f t="shared" ca="1" si="321"/>
        <v>0</v>
      </c>
      <c r="V709" s="306">
        <f t="shared" ca="1" si="322"/>
        <v>1.2257470136296902</v>
      </c>
      <c r="W709" s="304">
        <f t="shared" ca="1" si="323"/>
        <v>58.419887210017215</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2.9195349679331084</v>
      </c>
      <c r="AH709" s="304">
        <f t="shared" ref="AH709:AH772" ca="1" si="347">IF(AND(L708&lt;L_rampe,Poussee&lt;Poids*SIN(M708)), g*SIN(M708), (-W708+Poussee)/m)</f>
        <v>-6.832694751738682</v>
      </c>
    </row>
    <row r="710" spans="1:34" x14ac:dyDescent="0.3">
      <c r="A710" s="347">
        <f t="shared" ca="1" si="325"/>
        <v>1E-4</v>
      </c>
      <c r="B710" s="304">
        <f t="shared" ca="1" si="326"/>
        <v>33.119500000000848</v>
      </c>
      <c r="D710" s="306">
        <f t="shared" ca="1" si="327"/>
        <v>-0.74042929222851273</v>
      </c>
      <c r="E710" s="307">
        <f t="shared" ca="1" si="328"/>
        <v>-3.0175014336083699</v>
      </c>
      <c r="F710" s="304">
        <f t="shared" ca="1" si="329"/>
        <v>3.1070163241635189</v>
      </c>
      <c r="G710" s="306">
        <f t="shared" ca="1" si="330"/>
        <v>13.438883960770891</v>
      </c>
      <c r="H710" s="307">
        <f t="shared" ca="1" si="331"/>
        <v>-123.28567677790227</v>
      </c>
      <c r="I710" s="304">
        <f t="shared" ca="1" si="332"/>
        <v>124.01597357073183</v>
      </c>
      <c r="J710" s="306">
        <f t="shared" ca="1" si="333"/>
        <v>764.67878961306644</v>
      </c>
      <c r="K710" s="307">
        <f t="shared" ca="1" si="334"/>
        <v>-6.1085402426246604</v>
      </c>
      <c r="L710" s="304">
        <f t="shared" ca="1" si="319"/>
        <v>764.7031878761851</v>
      </c>
      <c r="M710" s="306">
        <f t="shared" ca="1" si="335"/>
        <v>-1.4622189782980302</v>
      </c>
      <c r="N710" s="304">
        <f t="shared" ca="1" si="336"/>
        <v>-83.778976180408435</v>
      </c>
      <c r="P710" s="310">
        <f t="shared" ca="1" si="337"/>
        <v>23</v>
      </c>
      <c r="Q710" s="304">
        <f t="shared" ca="1" si="338"/>
        <v>0</v>
      </c>
      <c r="R710" s="306">
        <f t="shared" ca="1" si="339"/>
        <v>0</v>
      </c>
      <c r="S710" s="307">
        <f t="shared" ca="1" si="340"/>
        <v>8.5499999999999989</v>
      </c>
      <c r="T710" s="304">
        <f t="shared" ca="1" si="320"/>
        <v>83.875499999999988</v>
      </c>
      <c r="U710" s="311">
        <f t="shared" ca="1" si="321"/>
        <v>0</v>
      </c>
      <c r="V710" s="306">
        <f t="shared" ca="1" si="322"/>
        <v>1.2257485247994147</v>
      </c>
      <c r="W710" s="304">
        <f t="shared" ca="1" si="323"/>
        <v>58.420234290520895</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2.9194952847355831</v>
      </c>
      <c r="AH710" s="304">
        <f t="shared" ca="1" si="347"/>
        <v>-6.8327353462008444</v>
      </c>
    </row>
    <row r="711" spans="1:34" x14ac:dyDescent="0.3">
      <c r="A711" s="347">
        <f t="shared" ca="1" si="325"/>
        <v>1E-4</v>
      </c>
      <c r="B711" s="304">
        <f t="shared" ca="1" si="326"/>
        <v>33.119600000000851</v>
      </c>
      <c r="D711" s="306">
        <f t="shared" ca="1" si="327"/>
        <v>-0.74042786867910604</v>
      </c>
      <c r="E711" s="307">
        <f t="shared" ca="1" si="328"/>
        <v>-3.0174604437549508</v>
      </c>
      <c r="F711" s="304">
        <f t="shared" ca="1" si="329"/>
        <v>3.1069761760178509</v>
      </c>
      <c r="G711" s="306">
        <f t="shared" ca="1" si="330"/>
        <v>13.438809917984024</v>
      </c>
      <c r="H711" s="307">
        <f t="shared" ca="1" si="331"/>
        <v>-123.28597852394664</v>
      </c>
      <c r="I711" s="304">
        <f t="shared" ca="1" si="332"/>
        <v>124.01626551633757</v>
      </c>
      <c r="J711" s="306">
        <f t="shared" ca="1" si="333"/>
        <v>764.67878961306644</v>
      </c>
      <c r="K711" s="307">
        <f t="shared" ca="1" si="334"/>
        <v>-6.1208688253897527</v>
      </c>
      <c r="L711" s="304">
        <f t="shared" ca="1" si="319"/>
        <v>764.70328645774896</v>
      </c>
      <c r="M711" s="306">
        <f t="shared" ca="1" si="335"/>
        <v>-1.4622198354857388</v>
      </c>
      <c r="N711" s="304">
        <f t="shared" ca="1" si="336"/>
        <v>-83.779025293646399</v>
      </c>
      <c r="P711" s="310">
        <f t="shared" ca="1" si="337"/>
        <v>23</v>
      </c>
      <c r="Q711" s="304">
        <f t="shared" ca="1" si="338"/>
        <v>0</v>
      </c>
      <c r="R711" s="306">
        <f t="shared" ca="1" si="339"/>
        <v>0</v>
      </c>
      <c r="S711" s="307">
        <f t="shared" ca="1" si="340"/>
        <v>8.5499999999999989</v>
      </c>
      <c r="T711" s="304">
        <f t="shared" ca="1" si="320"/>
        <v>83.875499999999988</v>
      </c>
      <c r="U711" s="311">
        <f t="shared" ca="1" si="321"/>
        <v>0</v>
      </c>
      <c r="V711" s="306">
        <f t="shared" ca="1" si="322"/>
        <v>1.2257500359747011</v>
      </c>
      <c r="W711" s="304">
        <f t="shared" ca="1" si="323"/>
        <v>58.42058136887669</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2.9194556017727873</v>
      </c>
      <c r="AH711" s="304">
        <f t="shared" ca="1" si="347"/>
        <v>-6.8327759404118016</v>
      </c>
    </row>
    <row r="712" spans="1:34" x14ac:dyDescent="0.3">
      <c r="A712" s="347">
        <f t="shared" ca="1" si="325"/>
        <v>1E-4</v>
      </c>
      <c r="B712" s="304">
        <f t="shared" ca="1" si="326"/>
        <v>33.119700000000854</v>
      </c>
      <c r="D712" s="306">
        <f t="shared" ca="1" si="327"/>
        <v>-0.74042644509224287</v>
      </c>
      <c r="E712" s="307">
        <f t="shared" ca="1" si="328"/>
        <v>-3.0174194541552026</v>
      </c>
      <c r="F712" s="304">
        <f t="shared" ca="1" si="329"/>
        <v>3.1069360281322527</v>
      </c>
      <c r="G712" s="306">
        <f t="shared" ca="1" si="330"/>
        <v>13.438735875339514</v>
      </c>
      <c r="H712" s="307">
        <f t="shared" ca="1" si="331"/>
        <v>-123.28628026589206</v>
      </c>
      <c r="I712" s="304">
        <f t="shared" ca="1" si="332"/>
        <v>124.01655745797504</v>
      </c>
      <c r="J712" s="306">
        <f t="shared" ca="1" si="333"/>
        <v>764.67878961306644</v>
      </c>
      <c r="K712" s="307">
        <f t="shared" ca="1" si="334"/>
        <v>-6.1331974383292449</v>
      </c>
      <c r="L712" s="304">
        <f t="shared" ca="1" si="319"/>
        <v>764.70338523830389</v>
      </c>
      <c r="M712" s="306">
        <f t="shared" ca="1" si="335"/>
        <v>-1.462220692664689</v>
      </c>
      <c r="N712" s="304">
        <f t="shared" ca="1" si="336"/>
        <v>-83.779074406382534</v>
      </c>
      <c r="P712" s="310">
        <f t="shared" ca="1" si="337"/>
        <v>23</v>
      </c>
      <c r="Q712" s="304">
        <f t="shared" ca="1" si="338"/>
        <v>0</v>
      </c>
      <c r="R712" s="306">
        <f t="shared" ca="1" si="339"/>
        <v>0</v>
      </c>
      <c r="S712" s="307">
        <f t="shared" ca="1" si="340"/>
        <v>8.5499999999999989</v>
      </c>
      <c r="T712" s="304">
        <f t="shared" ca="1" si="320"/>
        <v>83.875499999999988</v>
      </c>
      <c r="U712" s="311">
        <f t="shared" ca="1" si="321"/>
        <v>0</v>
      </c>
      <c r="V712" s="306">
        <f t="shared" ca="1" si="322"/>
        <v>1.2257515471555498</v>
      </c>
      <c r="W712" s="304">
        <f t="shared" ca="1" si="323"/>
        <v>58.420928445084606</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2.9194159190447291</v>
      </c>
      <c r="AH712" s="304">
        <f t="shared" ca="1" si="347"/>
        <v>-6.8328165343715437</v>
      </c>
    </row>
    <row r="713" spans="1:34" x14ac:dyDescent="0.3">
      <c r="A713" s="347">
        <f t="shared" ca="1" si="325"/>
        <v>1E-4</v>
      </c>
      <c r="B713" s="304">
        <f t="shared" ca="1" si="326"/>
        <v>33.119800000000858</v>
      </c>
      <c r="D713" s="306">
        <f t="shared" ca="1" si="327"/>
        <v>-0.740425021467922</v>
      </c>
      <c r="E713" s="307">
        <f t="shared" ca="1" si="328"/>
        <v>-3.0173784648091226</v>
      </c>
      <c r="F713" s="304">
        <f t="shared" ca="1" si="329"/>
        <v>3.1068958805067206</v>
      </c>
      <c r="G713" s="306">
        <f t="shared" ca="1" si="330"/>
        <v>13.438661832837367</v>
      </c>
      <c r="H713" s="307">
        <f t="shared" ca="1" si="331"/>
        <v>-123.28658200373854</v>
      </c>
      <c r="I713" s="304">
        <f t="shared" ca="1" si="332"/>
        <v>124.01684939564424</v>
      </c>
      <c r="J713" s="306">
        <f t="shared" ca="1" si="333"/>
        <v>764.67878961306644</v>
      </c>
      <c r="K713" s="307">
        <f t="shared" ca="1" si="334"/>
        <v>-6.1455260814427266</v>
      </c>
      <c r="L713" s="304">
        <f t="shared" ca="1" si="319"/>
        <v>764.70348421785161</v>
      </c>
      <c r="M713" s="306">
        <f t="shared" ca="1" si="335"/>
        <v>-1.4622215498348807</v>
      </c>
      <c r="N713" s="304">
        <f t="shared" ca="1" si="336"/>
        <v>-83.779123518616842</v>
      </c>
      <c r="P713" s="310">
        <f t="shared" ca="1" si="337"/>
        <v>23</v>
      </c>
      <c r="Q713" s="304">
        <f t="shared" ca="1" si="338"/>
        <v>0</v>
      </c>
      <c r="R713" s="306">
        <f t="shared" ca="1" si="339"/>
        <v>0</v>
      </c>
      <c r="S713" s="307">
        <f t="shared" ca="1" si="340"/>
        <v>8.5499999999999989</v>
      </c>
      <c r="T713" s="304">
        <f t="shared" ca="1" si="320"/>
        <v>83.875499999999988</v>
      </c>
      <c r="U713" s="311">
        <f t="shared" ca="1" si="321"/>
        <v>0</v>
      </c>
      <c r="V713" s="306">
        <f t="shared" ca="1" si="322"/>
        <v>1.2257530583419609</v>
      </c>
      <c r="W713" s="304">
        <f t="shared" ca="1" si="323"/>
        <v>58.421275519144615</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2.9193762365514075</v>
      </c>
      <c r="AH713" s="304">
        <f t="shared" ca="1" si="347"/>
        <v>-6.8328571280800716</v>
      </c>
    </row>
    <row r="714" spans="1:34" x14ac:dyDescent="0.3">
      <c r="A714" s="347">
        <f t="shared" ca="1" si="325"/>
        <v>1E-4</v>
      </c>
      <c r="B714" s="304">
        <f t="shared" ca="1" si="326"/>
        <v>33.119900000000861</v>
      </c>
      <c r="D714" s="306">
        <f t="shared" ca="1" si="327"/>
        <v>-0.74042359780614642</v>
      </c>
      <c r="E714" s="307">
        <f t="shared" ca="1" si="328"/>
        <v>-3.0173374757167162</v>
      </c>
      <c r="F714" s="304">
        <f t="shared" ca="1" si="329"/>
        <v>3.106855733141261</v>
      </c>
      <c r="G714" s="306">
        <f t="shared" ca="1" si="330"/>
        <v>13.438587790477586</v>
      </c>
      <c r="H714" s="307">
        <f t="shared" ca="1" si="331"/>
        <v>-123.28688373748612</v>
      </c>
      <c r="I714" s="304">
        <f t="shared" ca="1" si="332"/>
        <v>124.01714132934525</v>
      </c>
      <c r="J714" s="306">
        <f t="shared" ca="1" si="333"/>
        <v>764.67878961306644</v>
      </c>
      <c r="K714" s="307">
        <f t="shared" ca="1" si="334"/>
        <v>-6.1578547547297875</v>
      </c>
      <c r="L714" s="304">
        <f t="shared" ca="1" si="319"/>
        <v>764.70358339639336</v>
      </c>
      <c r="M714" s="306">
        <f t="shared" ca="1" si="335"/>
        <v>-1.4622224069963146</v>
      </c>
      <c r="N714" s="304">
        <f t="shared" ca="1" si="336"/>
        <v>-83.779172630349365</v>
      </c>
      <c r="P714" s="310">
        <f t="shared" ca="1" si="337"/>
        <v>23</v>
      </c>
      <c r="Q714" s="304">
        <f t="shared" ca="1" si="338"/>
        <v>0</v>
      </c>
      <c r="R714" s="306">
        <f t="shared" ca="1" si="339"/>
        <v>0</v>
      </c>
      <c r="S714" s="307">
        <f t="shared" ca="1" si="340"/>
        <v>8.5499999999999989</v>
      </c>
      <c r="T714" s="304">
        <f t="shared" ca="1" si="320"/>
        <v>83.875499999999988</v>
      </c>
      <c r="U714" s="311">
        <f t="shared" ca="1" si="321"/>
        <v>0</v>
      </c>
      <c r="V714" s="306">
        <f t="shared" ca="1" si="322"/>
        <v>1.225754569533934</v>
      </c>
      <c r="W714" s="304">
        <f t="shared" ca="1" si="323"/>
        <v>58.421622591056739</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2.9193365542928271</v>
      </c>
      <c r="AH714" s="304">
        <f t="shared" ca="1" si="347"/>
        <v>-6.8328977215373827</v>
      </c>
    </row>
    <row r="715" spans="1:34" x14ac:dyDescent="0.3">
      <c r="A715" s="347">
        <f t="shared" ca="1" si="325"/>
        <v>1E-4</v>
      </c>
      <c r="B715" s="304">
        <f t="shared" ca="1" si="326"/>
        <v>33.120000000000864</v>
      </c>
      <c r="D715" s="306">
        <f t="shared" ca="1" si="327"/>
        <v>-0.74042217410691336</v>
      </c>
      <c r="E715" s="307">
        <f t="shared" ca="1" si="328"/>
        <v>-3.0172964868779797</v>
      </c>
      <c r="F715" s="304">
        <f t="shared" ca="1" si="329"/>
        <v>3.1068155860358702</v>
      </c>
      <c r="G715" s="306">
        <f t="shared" ca="1" si="330"/>
        <v>13.438513748260174</v>
      </c>
      <c r="H715" s="307">
        <f t="shared" ca="1" si="331"/>
        <v>-123.2871854671348</v>
      </c>
      <c r="I715" s="304">
        <f t="shared" ca="1" si="332"/>
        <v>124.01743325907803</v>
      </c>
      <c r="J715" s="306">
        <f t="shared" ca="1" si="333"/>
        <v>764.67878961306644</v>
      </c>
      <c r="K715" s="307">
        <f t="shared" ca="1" si="334"/>
        <v>-6.1701834581900181</v>
      </c>
      <c r="L715" s="304">
        <f t="shared" ca="1" si="319"/>
        <v>764.7036827739305</v>
      </c>
      <c r="M715" s="306">
        <f t="shared" ca="1" si="335"/>
        <v>-1.4622232641489901</v>
      </c>
      <c r="N715" s="304">
        <f t="shared" ca="1" si="336"/>
        <v>-83.779221741580074</v>
      </c>
      <c r="P715" s="310">
        <f t="shared" ca="1" si="337"/>
        <v>23</v>
      </c>
      <c r="Q715" s="304">
        <f t="shared" ca="1" si="338"/>
        <v>0</v>
      </c>
      <c r="R715" s="306">
        <f t="shared" ca="1" si="339"/>
        <v>0</v>
      </c>
      <c r="S715" s="307">
        <f t="shared" ca="1" si="340"/>
        <v>8.5499999999999989</v>
      </c>
      <c r="T715" s="304">
        <f t="shared" ca="1" si="320"/>
        <v>83.875499999999988</v>
      </c>
      <c r="U715" s="311">
        <f t="shared" ca="1" si="321"/>
        <v>0</v>
      </c>
      <c r="V715" s="306">
        <f t="shared" ca="1" si="322"/>
        <v>1.2257560807314696</v>
      </c>
      <c r="W715" s="304">
        <f t="shared" ca="1" si="323"/>
        <v>58.42196966082092</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2.9192968722689878</v>
      </c>
      <c r="AH715" s="304">
        <f t="shared" ca="1" si="347"/>
        <v>-6.8329383147434788</v>
      </c>
    </row>
    <row r="716" spans="1:34" x14ac:dyDescent="0.3">
      <c r="A716" s="347">
        <f t="shared" ca="1" si="325"/>
        <v>1E-4</v>
      </c>
      <c r="B716" s="304">
        <f t="shared" ca="1" si="326"/>
        <v>33.120100000000868</v>
      </c>
      <c r="D716" s="306">
        <f t="shared" ca="1" si="327"/>
        <v>-0.74042075037022703</v>
      </c>
      <c r="E716" s="307">
        <f t="shared" ca="1" si="328"/>
        <v>-3.0172554982929185</v>
      </c>
      <c r="F716" s="304">
        <f t="shared" ca="1" si="329"/>
        <v>3.1067754391905535</v>
      </c>
      <c r="G716" s="306">
        <f t="shared" ca="1" si="330"/>
        <v>13.438439706185138</v>
      </c>
      <c r="H716" s="307">
        <f t="shared" ca="1" si="331"/>
        <v>-123.28748719268464</v>
      </c>
      <c r="I716" s="304">
        <f t="shared" ca="1" si="332"/>
        <v>124.01772518484263</v>
      </c>
      <c r="J716" s="306">
        <f t="shared" ca="1" si="333"/>
        <v>764.67878961306644</v>
      </c>
      <c r="K716" s="307">
        <f t="shared" ca="1" si="334"/>
        <v>-6.182512191823009</v>
      </c>
      <c r="L716" s="304">
        <f t="shared" ca="1" si="319"/>
        <v>764.70378235046439</v>
      </c>
      <c r="M716" s="306">
        <f t="shared" ca="1" si="335"/>
        <v>-1.4622241212929077</v>
      </c>
      <c r="N716" s="304">
        <f t="shared" ca="1" si="336"/>
        <v>-83.779270852308983</v>
      </c>
      <c r="P716" s="310">
        <f t="shared" ca="1" si="337"/>
        <v>23</v>
      </c>
      <c r="Q716" s="304">
        <f t="shared" ca="1" si="338"/>
        <v>0</v>
      </c>
      <c r="R716" s="306">
        <f t="shared" ca="1" si="339"/>
        <v>0</v>
      </c>
      <c r="S716" s="307">
        <f t="shared" ca="1" si="340"/>
        <v>8.5499999999999989</v>
      </c>
      <c r="T716" s="304">
        <f t="shared" ca="1" si="320"/>
        <v>83.875499999999988</v>
      </c>
      <c r="U716" s="311">
        <f t="shared" ca="1" si="321"/>
        <v>0</v>
      </c>
      <c r="V716" s="306">
        <f t="shared" ca="1" si="322"/>
        <v>1.2257575919345669</v>
      </c>
      <c r="W716" s="304">
        <f t="shared" ca="1" si="323"/>
        <v>58.42231672843716</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2.919257190479895</v>
      </c>
      <c r="AH716" s="304">
        <f t="shared" ca="1" si="347"/>
        <v>-6.8329789076983545</v>
      </c>
    </row>
    <row r="717" spans="1:34" x14ac:dyDescent="0.3">
      <c r="A717" s="347">
        <f t="shared" ca="1" si="325"/>
        <v>1E-4</v>
      </c>
      <c r="B717" s="304">
        <f t="shared" ca="1" si="326"/>
        <v>33.120200000000871</v>
      </c>
      <c r="D717" s="306">
        <f t="shared" ca="1" si="327"/>
        <v>-0.74041932659608611</v>
      </c>
      <c r="E717" s="307">
        <f t="shared" ca="1" si="328"/>
        <v>-3.0172145099615353</v>
      </c>
      <c r="F717" s="304">
        <f t="shared" ca="1" si="329"/>
        <v>3.1067352926053147</v>
      </c>
      <c r="G717" s="306">
        <f t="shared" ca="1" si="330"/>
        <v>13.438365664252478</v>
      </c>
      <c r="H717" s="307">
        <f t="shared" ca="1" si="331"/>
        <v>-123.28778891413563</v>
      </c>
      <c r="I717" s="304">
        <f t="shared" ca="1" si="332"/>
        <v>124.01801710663909</v>
      </c>
      <c r="J717" s="306">
        <f t="shared" ca="1" si="333"/>
        <v>764.67878961306644</v>
      </c>
      <c r="K717" s="307">
        <f t="shared" ca="1" si="334"/>
        <v>-6.1948409556283499</v>
      </c>
      <c r="L717" s="304">
        <f t="shared" ca="1" si="319"/>
        <v>764.70388212599642</v>
      </c>
      <c r="M717" s="306">
        <f t="shared" ca="1" si="335"/>
        <v>-1.4622249784280674</v>
      </c>
      <c r="N717" s="304">
        <f t="shared" ca="1" si="336"/>
        <v>-83.779319962536107</v>
      </c>
      <c r="P717" s="310">
        <f t="shared" ca="1" si="337"/>
        <v>23</v>
      </c>
      <c r="Q717" s="304">
        <f t="shared" ca="1" si="338"/>
        <v>0</v>
      </c>
      <c r="R717" s="306">
        <f t="shared" ca="1" si="339"/>
        <v>0</v>
      </c>
      <c r="S717" s="307">
        <f t="shared" ca="1" si="340"/>
        <v>8.5499999999999989</v>
      </c>
      <c r="T717" s="304">
        <f t="shared" ca="1" si="320"/>
        <v>83.875499999999988</v>
      </c>
      <c r="U717" s="311">
        <f t="shared" ca="1" si="321"/>
        <v>0</v>
      </c>
      <c r="V717" s="306">
        <f t="shared" ca="1" si="322"/>
        <v>1.2257591031432267</v>
      </c>
      <c r="W717" s="304">
        <f t="shared" ca="1" si="323"/>
        <v>58.422663793905471</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2.9192175089255468</v>
      </c>
      <c r="AH717" s="304">
        <f t="shared" ca="1" si="347"/>
        <v>-6.833019500402008</v>
      </c>
    </row>
    <row r="718" spans="1:34" x14ac:dyDescent="0.3">
      <c r="A718" s="347">
        <f t="shared" ca="1" si="325"/>
        <v>1E-4</v>
      </c>
      <c r="B718" s="304">
        <f t="shared" ca="1" si="326"/>
        <v>33.120300000000874</v>
      </c>
      <c r="D718" s="306">
        <f t="shared" ca="1" si="327"/>
        <v>-0.74041790278449249</v>
      </c>
      <c r="E718" s="307">
        <f t="shared" ca="1" si="328"/>
        <v>-3.0171735218838274</v>
      </c>
      <c r="F718" s="304">
        <f t="shared" ca="1" si="329"/>
        <v>3.1066951462801504</v>
      </c>
      <c r="G718" s="306">
        <f t="shared" ca="1" si="330"/>
        <v>13.4382916224622</v>
      </c>
      <c r="H718" s="307">
        <f t="shared" ca="1" si="331"/>
        <v>-123.28809063148782</v>
      </c>
      <c r="I718" s="304">
        <f t="shared" ca="1" si="332"/>
        <v>124.0183090244674</v>
      </c>
      <c r="J718" s="306">
        <f t="shared" ca="1" si="333"/>
        <v>764.67878961306644</v>
      </c>
      <c r="K718" s="307">
        <f t="shared" ca="1" si="334"/>
        <v>-6.2071697496056313</v>
      </c>
      <c r="L718" s="304">
        <f t="shared" ca="1" si="319"/>
        <v>764.70398210052815</v>
      </c>
      <c r="M718" s="306">
        <f t="shared" ca="1" si="335"/>
        <v>-1.4622258355544695</v>
      </c>
      <c r="N718" s="304">
        <f t="shared" ca="1" si="336"/>
        <v>-83.77936907226146</v>
      </c>
      <c r="P718" s="310">
        <f t="shared" ca="1" si="337"/>
        <v>23</v>
      </c>
      <c r="Q718" s="304">
        <f t="shared" ca="1" si="338"/>
        <v>0</v>
      </c>
      <c r="R718" s="306">
        <f t="shared" ca="1" si="339"/>
        <v>0</v>
      </c>
      <c r="S718" s="307">
        <f t="shared" ca="1" si="340"/>
        <v>8.5499999999999989</v>
      </c>
      <c r="T718" s="304">
        <f t="shared" ca="1" si="320"/>
        <v>83.875499999999988</v>
      </c>
      <c r="U718" s="311">
        <f t="shared" ca="1" si="321"/>
        <v>0</v>
      </c>
      <c r="V718" s="306">
        <f t="shared" ca="1" si="322"/>
        <v>1.2257606143574484</v>
      </c>
      <c r="W718" s="304">
        <f t="shared" ca="1" si="323"/>
        <v>58.423010857225812</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2.9191778276059441</v>
      </c>
      <c r="AH718" s="304">
        <f t="shared" ca="1" si="347"/>
        <v>-6.833060092854442</v>
      </c>
    </row>
    <row r="719" spans="1:34" x14ac:dyDescent="0.3">
      <c r="A719" s="347">
        <f t="shared" ca="1" si="325"/>
        <v>1E-4</v>
      </c>
      <c r="B719" s="304">
        <f t="shared" ca="1" si="326"/>
        <v>33.120400000000878</v>
      </c>
      <c r="D719" s="306">
        <f t="shared" ca="1" si="327"/>
        <v>-0.74041647893544571</v>
      </c>
      <c r="E719" s="307">
        <f t="shared" ca="1" si="328"/>
        <v>-3.0171325340597992</v>
      </c>
      <c r="F719" s="304">
        <f t="shared" ca="1" si="329"/>
        <v>3.1066550002150657</v>
      </c>
      <c r="G719" s="306">
        <f t="shared" ca="1" si="330"/>
        <v>13.438217580814307</v>
      </c>
      <c r="H719" s="307">
        <f t="shared" ca="1" si="331"/>
        <v>-123.28839234474123</v>
      </c>
      <c r="I719" s="304">
        <f t="shared" ca="1" si="332"/>
        <v>124.01860093832761</v>
      </c>
      <c r="J719" s="306">
        <f t="shared" ca="1" si="333"/>
        <v>764.67878961306644</v>
      </c>
      <c r="K719" s="307">
        <f t="shared" ca="1" si="334"/>
        <v>-6.2194985737544428</v>
      </c>
      <c r="L719" s="304">
        <f t="shared" ca="1" si="319"/>
        <v>764.70408227406062</v>
      </c>
      <c r="M719" s="306">
        <f t="shared" ca="1" si="335"/>
        <v>-1.4622266926721141</v>
      </c>
      <c r="N719" s="304">
        <f t="shared" ca="1" si="336"/>
        <v>-83.779418181485042</v>
      </c>
      <c r="P719" s="310">
        <f t="shared" ca="1" si="337"/>
        <v>23</v>
      </c>
      <c r="Q719" s="304">
        <f t="shared" ca="1" si="338"/>
        <v>0</v>
      </c>
      <c r="R719" s="306">
        <f t="shared" ca="1" si="339"/>
        <v>0</v>
      </c>
      <c r="S719" s="307">
        <f t="shared" ca="1" si="340"/>
        <v>8.5499999999999989</v>
      </c>
      <c r="T719" s="304">
        <f t="shared" ca="1" si="320"/>
        <v>83.875499999999988</v>
      </c>
      <c r="U719" s="311">
        <f t="shared" ca="1" si="321"/>
        <v>0</v>
      </c>
      <c r="V719" s="306">
        <f t="shared" ca="1" si="322"/>
        <v>1.225762125577232</v>
      </c>
      <c r="W719" s="304">
        <f t="shared" ca="1" si="323"/>
        <v>58.423357918398167</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2.9191381465210924</v>
      </c>
      <c r="AH719" s="304">
        <f t="shared" ca="1" si="347"/>
        <v>-6.8331006850556513</v>
      </c>
    </row>
    <row r="720" spans="1:34" x14ac:dyDescent="0.3">
      <c r="A720" s="347">
        <f t="shared" ca="1" si="325"/>
        <v>1E-4</v>
      </c>
      <c r="B720" s="304">
        <f t="shared" ca="1" si="326"/>
        <v>33.120500000000881</v>
      </c>
      <c r="D720" s="306">
        <f t="shared" ca="1" si="327"/>
        <v>-0.740415055048946</v>
      </c>
      <c r="E720" s="307">
        <f t="shared" ca="1" si="328"/>
        <v>-3.0170915464894525</v>
      </c>
      <c r="F720" s="304">
        <f t="shared" ca="1" si="329"/>
        <v>3.1066148544100618</v>
      </c>
      <c r="G720" s="306">
        <f t="shared" ca="1" si="330"/>
        <v>13.438143539308802</v>
      </c>
      <c r="H720" s="307">
        <f t="shared" ca="1" si="331"/>
        <v>-123.28869405389588</v>
      </c>
      <c r="I720" s="304">
        <f t="shared" ca="1" si="332"/>
        <v>124.01889284821974</v>
      </c>
      <c r="J720" s="306">
        <f t="shared" ca="1" si="333"/>
        <v>764.67878961306644</v>
      </c>
      <c r="K720" s="307">
        <f t="shared" ca="1" si="334"/>
        <v>-6.2318274280743751</v>
      </c>
      <c r="L720" s="304">
        <f t="shared" ca="1" si="319"/>
        <v>764.70418264659543</v>
      </c>
      <c r="M720" s="306">
        <f t="shared" ca="1" si="335"/>
        <v>-1.4622275497810013</v>
      </c>
      <c r="N720" s="304">
        <f t="shared" ca="1" si="336"/>
        <v>-83.779467290206853</v>
      </c>
      <c r="P720" s="310">
        <f t="shared" ca="1" si="337"/>
        <v>23</v>
      </c>
      <c r="Q720" s="304">
        <f t="shared" ca="1" si="338"/>
        <v>0</v>
      </c>
      <c r="R720" s="306">
        <f t="shared" ca="1" si="339"/>
        <v>0</v>
      </c>
      <c r="S720" s="307">
        <f t="shared" ca="1" si="340"/>
        <v>8.5499999999999989</v>
      </c>
      <c r="T720" s="304">
        <f t="shared" ca="1" si="320"/>
        <v>83.875499999999988</v>
      </c>
      <c r="U720" s="311">
        <f t="shared" ca="1" si="321"/>
        <v>0</v>
      </c>
      <c r="V720" s="306">
        <f t="shared" ca="1" si="322"/>
        <v>1.2257636368025777</v>
      </c>
      <c r="W720" s="304">
        <f t="shared" ca="1" si="323"/>
        <v>58.423704977422531</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2.9190984656709924</v>
      </c>
      <c r="AH720" s="304">
        <f t="shared" ca="1" si="347"/>
        <v>-6.8331412770056348</v>
      </c>
    </row>
    <row r="721" spans="1:34" x14ac:dyDescent="0.3">
      <c r="A721" s="347">
        <f t="shared" ca="1" si="325"/>
        <v>1E-4</v>
      </c>
      <c r="B721" s="304">
        <f t="shared" ca="1" si="326"/>
        <v>33.120600000000884</v>
      </c>
      <c r="D721" s="306">
        <f t="shared" ca="1" si="327"/>
        <v>-0.74041363112499481</v>
      </c>
      <c r="E721" s="307">
        <f t="shared" ca="1" si="328"/>
        <v>-3.0170505591727883</v>
      </c>
      <c r="F721" s="304">
        <f t="shared" ca="1" si="329"/>
        <v>3.1065747088651405</v>
      </c>
      <c r="G721" s="306">
        <f t="shared" ca="1" si="330"/>
        <v>13.438069497945691</v>
      </c>
      <c r="H721" s="307">
        <f t="shared" ca="1" si="331"/>
        <v>-123.2889957589518</v>
      </c>
      <c r="I721" s="304">
        <f t="shared" ca="1" si="332"/>
        <v>124.01918475414381</v>
      </c>
      <c r="J721" s="306">
        <f t="shared" ca="1" si="333"/>
        <v>764.67878961306644</v>
      </c>
      <c r="K721" s="307">
        <f t="shared" ca="1" si="334"/>
        <v>-6.2441563125650177</v>
      </c>
      <c r="L721" s="304">
        <f t="shared" ca="1" si="319"/>
        <v>764.70428321813392</v>
      </c>
      <c r="M721" s="306">
        <f t="shared" ca="1" si="335"/>
        <v>-1.4622284068811313</v>
      </c>
      <c r="N721" s="304">
        <f t="shared" ca="1" si="336"/>
        <v>-83.779516398426921</v>
      </c>
      <c r="P721" s="310">
        <f t="shared" ca="1" si="337"/>
        <v>23</v>
      </c>
      <c r="Q721" s="304">
        <f t="shared" ca="1" si="338"/>
        <v>0</v>
      </c>
      <c r="R721" s="306">
        <f t="shared" ca="1" si="339"/>
        <v>0</v>
      </c>
      <c r="S721" s="307">
        <f t="shared" ca="1" si="340"/>
        <v>8.5499999999999989</v>
      </c>
      <c r="T721" s="304">
        <f t="shared" ca="1" si="320"/>
        <v>83.875499999999988</v>
      </c>
      <c r="U721" s="311">
        <f t="shared" ca="1" si="321"/>
        <v>0</v>
      </c>
      <c r="V721" s="306">
        <f t="shared" ca="1" si="322"/>
        <v>1.2257651480334855</v>
      </c>
      <c r="W721" s="304">
        <f t="shared" ca="1" si="323"/>
        <v>58.42405203429891</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2.9190587850556478</v>
      </c>
      <c r="AH721" s="304">
        <f t="shared" ca="1" si="347"/>
        <v>-6.8331818687043908</v>
      </c>
    </row>
    <row r="722" spans="1:34" x14ac:dyDescent="0.3">
      <c r="A722" s="347">
        <f t="shared" ca="1" si="325"/>
        <v>1E-4</v>
      </c>
      <c r="B722" s="304">
        <f t="shared" ca="1" si="326"/>
        <v>33.120700000000888</v>
      </c>
      <c r="D722" s="306">
        <f t="shared" ca="1" si="327"/>
        <v>-0.74041220716359235</v>
      </c>
      <c r="E722" s="307">
        <f t="shared" ca="1" si="328"/>
        <v>-3.0170095721098065</v>
      </c>
      <c r="F722" s="304">
        <f t="shared" ca="1" si="329"/>
        <v>3.1065345635803023</v>
      </c>
      <c r="G722" s="306">
        <f t="shared" ca="1" si="330"/>
        <v>13.437995456724973</v>
      </c>
      <c r="H722" s="307">
        <f t="shared" ca="1" si="331"/>
        <v>-123.28929745990901</v>
      </c>
      <c r="I722" s="304">
        <f t="shared" ca="1" si="332"/>
        <v>124.01947665609981</v>
      </c>
      <c r="J722" s="306">
        <f t="shared" ca="1" si="333"/>
        <v>764.67878961306644</v>
      </c>
      <c r="K722" s="307">
        <f t="shared" ca="1" si="334"/>
        <v>-6.2564852272259603</v>
      </c>
      <c r="L722" s="304">
        <f t="shared" ca="1" si="319"/>
        <v>764.70438398867759</v>
      </c>
      <c r="M722" s="306">
        <f t="shared" ca="1" si="335"/>
        <v>-1.4622292639725041</v>
      </c>
      <c r="N722" s="304">
        <f t="shared" ca="1" si="336"/>
        <v>-83.779565506145246</v>
      </c>
      <c r="P722" s="310">
        <f t="shared" ca="1" si="337"/>
        <v>23</v>
      </c>
      <c r="Q722" s="304">
        <f t="shared" ca="1" si="338"/>
        <v>0</v>
      </c>
      <c r="R722" s="306">
        <f t="shared" ca="1" si="339"/>
        <v>0</v>
      </c>
      <c r="S722" s="307">
        <f t="shared" ca="1" si="340"/>
        <v>8.5499999999999989</v>
      </c>
      <c r="T722" s="304">
        <f t="shared" ca="1" si="320"/>
        <v>83.875499999999988</v>
      </c>
      <c r="U722" s="311">
        <f t="shared" ca="1" si="321"/>
        <v>0</v>
      </c>
      <c r="V722" s="306">
        <f t="shared" ca="1" si="322"/>
        <v>1.2257666592699552</v>
      </c>
      <c r="W722" s="304">
        <f t="shared" ca="1" si="323"/>
        <v>58.424399089027247</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2.9190191046750558</v>
      </c>
      <c r="AH722" s="304">
        <f t="shared" ca="1" si="347"/>
        <v>-6.8332224601519203</v>
      </c>
    </row>
    <row r="723" spans="1:34" x14ac:dyDescent="0.3">
      <c r="A723" s="347">
        <f t="shared" ca="1" si="325"/>
        <v>1E-4</v>
      </c>
      <c r="B723" s="304">
        <f t="shared" ca="1" si="326"/>
        <v>33.120800000000891</v>
      </c>
      <c r="D723" s="306">
        <f t="shared" ca="1" si="327"/>
        <v>-0.74041078316473985</v>
      </c>
      <c r="E723" s="307">
        <f t="shared" ca="1" si="328"/>
        <v>-3.0169685853005133</v>
      </c>
      <c r="F723" s="304">
        <f t="shared" ca="1" si="329"/>
        <v>3.106494418555553</v>
      </c>
      <c r="G723" s="306">
        <f t="shared" ca="1" si="330"/>
        <v>13.437921415646656</v>
      </c>
      <c r="H723" s="307">
        <f t="shared" ca="1" si="331"/>
        <v>-123.28959915676754</v>
      </c>
      <c r="I723" s="304">
        <f t="shared" ca="1" si="332"/>
        <v>124.01976855408782</v>
      </c>
      <c r="J723" s="306">
        <f t="shared" ca="1" si="333"/>
        <v>764.67878961306644</v>
      </c>
      <c r="K723" s="307">
        <f t="shared" ca="1" si="334"/>
        <v>-6.2688141720567945</v>
      </c>
      <c r="L723" s="304">
        <f t="shared" ca="1" si="319"/>
        <v>764.70448495822757</v>
      </c>
      <c r="M723" s="306">
        <f t="shared" ca="1" si="335"/>
        <v>-1.4622301210551201</v>
      </c>
      <c r="N723" s="304">
        <f t="shared" ca="1" si="336"/>
        <v>-83.779614613361829</v>
      </c>
      <c r="P723" s="310">
        <f t="shared" ca="1" si="337"/>
        <v>23</v>
      </c>
      <c r="Q723" s="304">
        <f t="shared" ca="1" si="338"/>
        <v>0</v>
      </c>
      <c r="R723" s="306">
        <f t="shared" ca="1" si="339"/>
        <v>0</v>
      </c>
      <c r="S723" s="307">
        <f t="shared" ca="1" si="340"/>
        <v>8.5499999999999989</v>
      </c>
      <c r="T723" s="304">
        <f t="shared" ca="1" si="320"/>
        <v>83.875499999999988</v>
      </c>
      <c r="U723" s="311">
        <f t="shared" ca="1" si="321"/>
        <v>0</v>
      </c>
      <c r="V723" s="306">
        <f t="shared" ca="1" si="322"/>
        <v>1.2257681705119867</v>
      </c>
      <c r="W723" s="304">
        <f t="shared" ca="1" si="323"/>
        <v>58.424746141607557</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2.9189794245292227</v>
      </c>
      <c r="AH723" s="304">
        <f t="shared" ca="1" si="347"/>
        <v>-6.8332630513482169</v>
      </c>
    </row>
    <row r="724" spans="1:34" x14ac:dyDescent="0.3">
      <c r="A724" s="347">
        <f t="shared" ca="1" si="325"/>
        <v>1E-4</v>
      </c>
      <c r="B724" s="304">
        <f t="shared" ca="1" si="326"/>
        <v>33.120900000000894</v>
      </c>
      <c r="D724" s="306">
        <f t="shared" ca="1" si="327"/>
        <v>-0.7404093591284362</v>
      </c>
      <c r="E724" s="307">
        <f t="shared" ca="1" si="328"/>
        <v>-3.0169275987449051</v>
      </c>
      <c r="F724" s="304">
        <f t="shared" ca="1" si="329"/>
        <v>3.1064542737908889</v>
      </c>
      <c r="G724" s="306">
        <f t="shared" ca="1" si="330"/>
        <v>13.437847374710744</v>
      </c>
      <c r="H724" s="307">
        <f t="shared" ca="1" si="331"/>
        <v>-123.28990084952741</v>
      </c>
      <c r="I724" s="304">
        <f t="shared" ca="1" si="332"/>
        <v>124.02006044810784</v>
      </c>
      <c r="J724" s="306">
        <f t="shared" ca="1" si="333"/>
        <v>764.67878961306644</v>
      </c>
      <c r="K724" s="307">
        <f t="shared" ca="1" si="334"/>
        <v>-6.2811431470571089</v>
      </c>
      <c r="L724" s="304">
        <f t="shared" ca="1" si="319"/>
        <v>764.70458612678533</v>
      </c>
      <c r="M724" s="306">
        <f t="shared" ca="1" si="335"/>
        <v>-1.4622309781289791</v>
      </c>
      <c r="N724" s="304">
        <f t="shared" ca="1" si="336"/>
        <v>-83.779663720076684</v>
      </c>
      <c r="P724" s="310">
        <f t="shared" ca="1" si="337"/>
        <v>23</v>
      </c>
      <c r="Q724" s="304">
        <f t="shared" ca="1" si="338"/>
        <v>0</v>
      </c>
      <c r="R724" s="306">
        <f t="shared" ca="1" si="339"/>
        <v>0</v>
      </c>
      <c r="S724" s="307">
        <f t="shared" ca="1" si="340"/>
        <v>8.5499999999999989</v>
      </c>
      <c r="T724" s="304">
        <f t="shared" ca="1" si="320"/>
        <v>83.875499999999988</v>
      </c>
      <c r="U724" s="311">
        <f t="shared" ca="1" si="321"/>
        <v>0</v>
      </c>
      <c r="V724" s="306">
        <f t="shared" ca="1" si="322"/>
        <v>1.2257696817595802</v>
      </c>
      <c r="W724" s="304">
        <f t="shared" ca="1" si="323"/>
        <v>58.425093192039832</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2.918939744618152</v>
      </c>
      <c r="AH724" s="304">
        <f t="shared" ca="1" si="347"/>
        <v>-6.8333036422932825</v>
      </c>
    </row>
    <row r="725" spans="1:34" x14ac:dyDescent="0.3">
      <c r="A725" s="347">
        <f t="shared" ca="1" si="325"/>
        <v>1E-4</v>
      </c>
      <c r="B725" s="304">
        <f t="shared" ca="1" si="326"/>
        <v>33.121000000000898</v>
      </c>
      <c r="D725" s="306">
        <f t="shared" ca="1" si="327"/>
        <v>-0.74040793505468427</v>
      </c>
      <c r="E725" s="307">
        <f t="shared" ca="1" si="328"/>
        <v>-3.0168866124429865</v>
      </c>
      <c r="F725" s="304">
        <f t="shared" ca="1" si="329"/>
        <v>3.1064141292863159</v>
      </c>
      <c r="G725" s="306">
        <f t="shared" ca="1" si="330"/>
        <v>13.437773333917239</v>
      </c>
      <c r="H725" s="307">
        <f t="shared" ca="1" si="331"/>
        <v>-123.29020253818865</v>
      </c>
      <c r="I725" s="304">
        <f t="shared" ca="1" si="332"/>
        <v>124.02035233815987</v>
      </c>
      <c r="J725" s="306">
        <f t="shared" ca="1" si="333"/>
        <v>764.67878961306644</v>
      </c>
      <c r="K725" s="307">
        <f t="shared" ca="1" si="334"/>
        <v>-6.2934721522264949</v>
      </c>
      <c r="L725" s="304">
        <f t="shared" ca="1" si="319"/>
        <v>764.70468749435247</v>
      </c>
      <c r="M725" s="306">
        <f t="shared" ca="1" si="335"/>
        <v>-1.4622318351940813</v>
      </c>
      <c r="N725" s="304">
        <f t="shared" ca="1" si="336"/>
        <v>-83.77971282628981</v>
      </c>
      <c r="P725" s="310">
        <f t="shared" ca="1" si="337"/>
        <v>23</v>
      </c>
      <c r="Q725" s="304">
        <f t="shared" ca="1" si="338"/>
        <v>0</v>
      </c>
      <c r="R725" s="306">
        <f t="shared" ca="1" si="339"/>
        <v>0</v>
      </c>
      <c r="S725" s="307">
        <f t="shared" ca="1" si="340"/>
        <v>8.5499999999999989</v>
      </c>
      <c r="T725" s="304">
        <f t="shared" ca="1" si="320"/>
        <v>83.875499999999988</v>
      </c>
      <c r="U725" s="311">
        <f t="shared" ca="1" si="321"/>
        <v>0</v>
      </c>
      <c r="V725" s="306">
        <f t="shared" ca="1" si="322"/>
        <v>1.2257711930127353</v>
      </c>
      <c r="W725" s="304">
        <f t="shared" ca="1" si="323"/>
        <v>58.425440240324015</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2.9189000649418402</v>
      </c>
      <c r="AH725" s="304">
        <f t="shared" ca="1" si="347"/>
        <v>-6.8333442329871152</v>
      </c>
    </row>
    <row r="726" spans="1:34" x14ac:dyDescent="0.3">
      <c r="A726" s="347">
        <f t="shared" ca="1" si="325"/>
        <v>1E-4</v>
      </c>
      <c r="B726" s="304">
        <f t="shared" ca="1" si="326"/>
        <v>33.121100000000901</v>
      </c>
      <c r="D726" s="306">
        <f t="shared" ca="1" si="327"/>
        <v>-0.74040651094348364</v>
      </c>
      <c r="E726" s="307">
        <f t="shared" ca="1" si="328"/>
        <v>-3.0168456263947609</v>
      </c>
      <c r="F726" s="304">
        <f t="shared" ca="1" si="329"/>
        <v>3.1063739850418366</v>
      </c>
      <c r="G726" s="306">
        <f t="shared" ca="1" si="330"/>
        <v>13.437699293266144</v>
      </c>
      <c r="H726" s="307">
        <f t="shared" ca="1" si="331"/>
        <v>-123.2905042227513</v>
      </c>
      <c r="I726" s="304">
        <f t="shared" ca="1" si="332"/>
        <v>124.02064422424397</v>
      </c>
      <c r="J726" s="306">
        <f t="shared" ca="1" si="333"/>
        <v>764.67878961306644</v>
      </c>
      <c r="K726" s="307">
        <f t="shared" ca="1" si="334"/>
        <v>-6.3058011875645423</v>
      </c>
      <c r="L726" s="304">
        <f t="shared" ca="1" si="319"/>
        <v>764.70478906093001</v>
      </c>
      <c r="M726" s="306">
        <f t="shared" ca="1" si="335"/>
        <v>-1.462232692250427</v>
      </c>
      <c r="N726" s="304">
        <f t="shared" ca="1" si="336"/>
        <v>-83.779761932001222</v>
      </c>
      <c r="P726" s="310">
        <f t="shared" ca="1" si="337"/>
        <v>23</v>
      </c>
      <c r="Q726" s="304">
        <f t="shared" ca="1" si="338"/>
        <v>0</v>
      </c>
      <c r="R726" s="306">
        <f t="shared" ca="1" si="339"/>
        <v>0</v>
      </c>
      <c r="S726" s="307">
        <f t="shared" ca="1" si="340"/>
        <v>8.5499999999999989</v>
      </c>
      <c r="T726" s="304">
        <f t="shared" ca="1" si="320"/>
        <v>83.875499999999988</v>
      </c>
      <c r="U726" s="311">
        <f t="shared" ca="1" si="321"/>
        <v>0</v>
      </c>
      <c r="V726" s="306">
        <f t="shared" ca="1" si="322"/>
        <v>1.2257727042714526</v>
      </c>
      <c r="W726" s="304">
        <f t="shared" ca="1" si="323"/>
        <v>58.425787286460171</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2.9188603855002944</v>
      </c>
      <c r="AH726" s="304">
        <f t="shared" ca="1" si="347"/>
        <v>-6.8333848234297099</v>
      </c>
    </row>
    <row r="727" spans="1:34" x14ac:dyDescent="0.3">
      <c r="A727" s="347">
        <f t="shared" ca="1" si="325"/>
        <v>1E-4</v>
      </c>
      <c r="B727" s="304">
        <f t="shared" ca="1" si="326"/>
        <v>33.121200000000904</v>
      </c>
      <c r="D727" s="306">
        <f t="shared" ca="1" si="327"/>
        <v>-0.74040508679483552</v>
      </c>
      <c r="E727" s="307">
        <f t="shared" ca="1" si="328"/>
        <v>-3.0168046406002231</v>
      </c>
      <c r="F727" s="304">
        <f t="shared" ca="1" si="329"/>
        <v>3.1063338410574466</v>
      </c>
      <c r="G727" s="306">
        <f t="shared" ca="1" si="330"/>
        <v>13.437625252757465</v>
      </c>
      <c r="H727" s="307">
        <f t="shared" ca="1" si="331"/>
        <v>-123.29080590321536</v>
      </c>
      <c r="I727" s="304">
        <f t="shared" ca="1" si="332"/>
        <v>124.02093610636015</v>
      </c>
      <c r="J727" s="306">
        <f t="shared" ca="1" si="333"/>
        <v>764.67878961306644</v>
      </c>
      <c r="K727" s="307">
        <f t="shared" ca="1" si="334"/>
        <v>-6.3181302530708408</v>
      </c>
      <c r="L727" s="304">
        <f t="shared" ca="1" si="319"/>
        <v>764.70489082651943</v>
      </c>
      <c r="M727" s="306">
        <f t="shared" ca="1" si="335"/>
        <v>-1.4622335492980161</v>
      </c>
      <c r="N727" s="304">
        <f t="shared" ca="1" si="336"/>
        <v>-83.779811037210919</v>
      </c>
      <c r="P727" s="310">
        <f t="shared" ca="1" si="337"/>
        <v>23</v>
      </c>
      <c r="Q727" s="304">
        <f t="shared" ca="1" si="338"/>
        <v>0</v>
      </c>
      <c r="R727" s="306">
        <f t="shared" ca="1" si="339"/>
        <v>0</v>
      </c>
      <c r="S727" s="307">
        <f t="shared" ca="1" si="340"/>
        <v>8.5499999999999989</v>
      </c>
      <c r="T727" s="304">
        <f t="shared" ca="1" si="320"/>
        <v>83.875499999999988</v>
      </c>
      <c r="U727" s="311">
        <f t="shared" ca="1" si="321"/>
        <v>0</v>
      </c>
      <c r="V727" s="306">
        <f t="shared" ca="1" si="322"/>
        <v>1.2257742155357312</v>
      </c>
      <c r="W727" s="304">
        <f t="shared" ca="1" si="323"/>
        <v>58.426134330448214</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2.9188207062935092</v>
      </c>
      <c r="AH727" s="304">
        <f t="shared" ca="1" si="347"/>
        <v>-6.8334254136210735</v>
      </c>
    </row>
    <row r="728" spans="1:34" x14ac:dyDescent="0.3">
      <c r="A728" s="347">
        <f t="shared" ca="1" si="325"/>
        <v>1E-4</v>
      </c>
      <c r="B728" s="304">
        <f t="shared" ca="1" si="326"/>
        <v>33.121300000000907</v>
      </c>
      <c r="D728" s="306">
        <f t="shared" ca="1" si="327"/>
        <v>-0.74040366260874035</v>
      </c>
      <c r="E728" s="307">
        <f t="shared" ca="1" si="328"/>
        <v>-3.016763655059381</v>
      </c>
      <c r="F728" s="304">
        <f t="shared" ca="1" si="329"/>
        <v>3.1062936973331539</v>
      </c>
      <c r="G728" s="306">
        <f t="shared" ca="1" si="330"/>
        <v>13.437551212391204</v>
      </c>
      <c r="H728" s="307">
        <f t="shared" ca="1" si="331"/>
        <v>-123.29110757958087</v>
      </c>
      <c r="I728" s="304">
        <f t="shared" ca="1" si="332"/>
        <v>124.02122798450844</v>
      </c>
      <c r="J728" s="306">
        <f t="shared" ca="1" si="333"/>
        <v>764.67878961306644</v>
      </c>
      <c r="K728" s="307">
        <f t="shared" ca="1" si="334"/>
        <v>-6.3304593487449807</v>
      </c>
      <c r="L728" s="304">
        <f t="shared" ca="1" si="319"/>
        <v>764.70499279112232</v>
      </c>
      <c r="M728" s="306">
        <f t="shared" ca="1" si="335"/>
        <v>-1.4622344063368491</v>
      </c>
      <c r="N728" s="304">
        <f t="shared" ca="1" si="336"/>
        <v>-83.779860141918931</v>
      </c>
      <c r="P728" s="310">
        <f t="shared" ca="1" si="337"/>
        <v>23</v>
      </c>
      <c r="Q728" s="304">
        <f t="shared" ca="1" si="338"/>
        <v>0</v>
      </c>
      <c r="R728" s="306">
        <f t="shared" ca="1" si="339"/>
        <v>0</v>
      </c>
      <c r="S728" s="307">
        <f t="shared" ca="1" si="340"/>
        <v>8.5499999999999989</v>
      </c>
      <c r="T728" s="304">
        <f t="shared" ca="1" si="320"/>
        <v>83.875499999999988</v>
      </c>
      <c r="U728" s="311">
        <f t="shared" ca="1" si="321"/>
        <v>0</v>
      </c>
      <c r="V728" s="306">
        <f t="shared" ca="1" si="322"/>
        <v>1.2257757268055716</v>
      </c>
      <c r="W728" s="304">
        <f t="shared" ca="1" si="323"/>
        <v>58.42648137228818</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2.9187810273214954</v>
      </c>
      <c r="AH728" s="304">
        <f t="shared" ca="1" si="347"/>
        <v>-6.8334660035611954</v>
      </c>
    </row>
    <row r="729" spans="1:34" x14ac:dyDescent="0.3">
      <c r="A729" s="347">
        <f t="shared" ca="1" si="325"/>
        <v>1E-4</v>
      </c>
      <c r="B729" s="304">
        <f t="shared" ca="1" si="326"/>
        <v>33.121400000000911</v>
      </c>
      <c r="D729" s="306">
        <f t="shared" ca="1" si="327"/>
        <v>-0.74040223838519748</v>
      </c>
      <c r="E729" s="307">
        <f t="shared" ca="1" si="328"/>
        <v>-3.0167226697722329</v>
      </c>
      <c r="F729" s="304">
        <f t="shared" ca="1" si="329"/>
        <v>3.1062535538689557</v>
      </c>
      <c r="G729" s="306">
        <f t="shared" ca="1" si="330"/>
        <v>13.437477172167366</v>
      </c>
      <c r="H729" s="307">
        <f t="shared" ca="1" si="331"/>
        <v>-123.29140925184784</v>
      </c>
      <c r="I729" s="304">
        <f t="shared" ca="1" si="332"/>
        <v>124.02151985868883</v>
      </c>
      <c r="J729" s="306">
        <f t="shared" ca="1" si="333"/>
        <v>764.67878961306644</v>
      </c>
      <c r="K729" s="307">
        <f t="shared" ca="1" si="334"/>
        <v>-6.3427884745865519</v>
      </c>
      <c r="L729" s="304">
        <f t="shared" ca="1" si="319"/>
        <v>764.70509495473982</v>
      </c>
      <c r="M729" s="306">
        <f t="shared" ca="1" si="335"/>
        <v>-1.462235263366926</v>
      </c>
      <c r="N729" s="304">
        <f t="shared" ca="1" si="336"/>
        <v>-83.779909246125257</v>
      </c>
      <c r="P729" s="310">
        <f t="shared" ca="1" si="337"/>
        <v>23</v>
      </c>
      <c r="Q729" s="304">
        <f t="shared" ca="1" si="338"/>
        <v>0</v>
      </c>
      <c r="R729" s="306">
        <f t="shared" ca="1" si="339"/>
        <v>0</v>
      </c>
      <c r="S729" s="307">
        <f t="shared" ca="1" si="340"/>
        <v>8.5499999999999989</v>
      </c>
      <c r="T729" s="304">
        <f t="shared" ca="1" si="320"/>
        <v>83.875499999999988</v>
      </c>
      <c r="U729" s="311">
        <f t="shared" ca="1" si="321"/>
        <v>0</v>
      </c>
      <c r="V729" s="306">
        <f t="shared" ca="1" si="322"/>
        <v>1.2257772380809742</v>
      </c>
      <c r="W729" s="304">
        <f t="shared" ca="1" si="323"/>
        <v>58.426828411980011</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2.9187413485842466</v>
      </c>
      <c r="AH729" s="304">
        <f t="shared" ca="1" si="347"/>
        <v>-6.83350659325008</v>
      </c>
    </row>
    <row r="730" spans="1:34" x14ac:dyDescent="0.3">
      <c r="A730" s="347">
        <f t="shared" ca="1" si="325"/>
        <v>1E-4</v>
      </c>
      <c r="B730" s="304">
        <f t="shared" ca="1" si="326"/>
        <v>33.121500000000914</v>
      </c>
      <c r="D730" s="306">
        <f t="shared" ca="1" si="327"/>
        <v>-0.74040081412420766</v>
      </c>
      <c r="E730" s="307">
        <f t="shared" ca="1" si="328"/>
        <v>-3.0166816847387832</v>
      </c>
      <c r="F730" s="304">
        <f t="shared" ca="1" si="329"/>
        <v>3.1062134106648585</v>
      </c>
      <c r="G730" s="306">
        <f t="shared" ca="1" si="330"/>
        <v>13.437403132085954</v>
      </c>
      <c r="H730" s="307">
        <f t="shared" ca="1" si="331"/>
        <v>-123.29171092001631</v>
      </c>
      <c r="I730" s="304">
        <f t="shared" ca="1" si="332"/>
        <v>124.0218117289014</v>
      </c>
      <c r="J730" s="306">
        <f t="shared" ca="1" si="333"/>
        <v>764.67878961306644</v>
      </c>
      <c r="K730" s="307">
        <f t="shared" ca="1" si="334"/>
        <v>-6.3551176305951449</v>
      </c>
      <c r="L730" s="304">
        <f t="shared" ca="1" si="319"/>
        <v>764.7051973173734</v>
      </c>
      <c r="M730" s="306">
        <f t="shared" ca="1" si="335"/>
        <v>-1.4622361203882466</v>
      </c>
      <c r="N730" s="304">
        <f t="shared" ca="1" si="336"/>
        <v>-83.779958349829869</v>
      </c>
      <c r="P730" s="310">
        <f t="shared" ca="1" si="337"/>
        <v>23</v>
      </c>
      <c r="Q730" s="304">
        <f t="shared" ca="1" si="338"/>
        <v>0</v>
      </c>
      <c r="R730" s="306">
        <f t="shared" ca="1" si="339"/>
        <v>0</v>
      </c>
      <c r="S730" s="307">
        <f t="shared" ca="1" si="340"/>
        <v>8.5499999999999989</v>
      </c>
      <c r="T730" s="304">
        <f t="shared" ca="1" si="320"/>
        <v>83.875499999999988</v>
      </c>
      <c r="U730" s="311">
        <f t="shared" ca="1" si="321"/>
        <v>0</v>
      </c>
      <c r="V730" s="306">
        <f t="shared" ca="1" si="322"/>
        <v>1.2257787493619381</v>
      </c>
      <c r="W730" s="304">
        <f t="shared" ca="1" si="323"/>
        <v>58.427175449523737</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2.9187016700817727</v>
      </c>
      <c r="AH730" s="304">
        <f t="shared" ca="1" si="347"/>
        <v>-6.8335471826877212</v>
      </c>
    </row>
    <row r="731" spans="1:34" x14ac:dyDescent="0.3">
      <c r="A731" s="347">
        <f t="shared" ca="1" si="325"/>
        <v>1E-4</v>
      </c>
      <c r="B731" s="304">
        <f t="shared" ca="1" si="326"/>
        <v>33.121600000000917</v>
      </c>
      <c r="D731" s="306">
        <f t="shared" ca="1" si="327"/>
        <v>-0.74039938982577458</v>
      </c>
      <c r="E731" s="307">
        <f t="shared" ca="1" si="328"/>
        <v>-3.0166406999590292</v>
      </c>
      <c r="F731" s="304">
        <f t="shared" ca="1" si="329"/>
        <v>3.1061732677208589</v>
      </c>
      <c r="G731" s="306">
        <f t="shared" ca="1" si="330"/>
        <v>13.437329092146971</v>
      </c>
      <c r="H731" s="307">
        <f t="shared" ca="1" si="331"/>
        <v>-123.29201258408631</v>
      </c>
      <c r="I731" s="304">
        <f t="shared" ca="1" si="332"/>
        <v>124.02210359514612</v>
      </c>
      <c r="J731" s="306">
        <f t="shared" ca="1" si="333"/>
        <v>764.67878961306644</v>
      </c>
      <c r="K731" s="307">
        <f t="shared" ca="1" si="334"/>
        <v>-6.3674468167703502</v>
      </c>
      <c r="L731" s="304">
        <f t="shared" ca="1" si="319"/>
        <v>764.70529987902444</v>
      </c>
      <c r="M731" s="306">
        <f t="shared" ca="1" si="335"/>
        <v>-1.4622369774008115</v>
      </c>
      <c r="N731" s="304">
        <f t="shared" ca="1" si="336"/>
        <v>-83.780007453032837</v>
      </c>
      <c r="P731" s="310">
        <f t="shared" ca="1" si="337"/>
        <v>23</v>
      </c>
      <c r="Q731" s="304">
        <f t="shared" ca="1" si="338"/>
        <v>0</v>
      </c>
      <c r="R731" s="306">
        <f t="shared" ca="1" si="339"/>
        <v>0</v>
      </c>
      <c r="S731" s="307">
        <f t="shared" ca="1" si="340"/>
        <v>8.5499999999999989</v>
      </c>
      <c r="T731" s="304">
        <f t="shared" ca="1" si="320"/>
        <v>83.875499999999988</v>
      </c>
      <c r="U731" s="311">
        <f t="shared" ca="1" si="321"/>
        <v>0</v>
      </c>
      <c r="V731" s="306">
        <f t="shared" ca="1" si="322"/>
        <v>1.2257802606484636</v>
      </c>
      <c r="W731" s="304">
        <f t="shared" ca="1" si="323"/>
        <v>58.427522484919308</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2.9186619918140702</v>
      </c>
      <c r="AH731" s="304">
        <f t="shared" ca="1" si="347"/>
        <v>-6.8335877718741225</v>
      </c>
    </row>
    <row r="732" spans="1:34" x14ac:dyDescent="0.3">
      <c r="A732" s="347">
        <f t="shared" ca="1" si="325"/>
        <v>1E-4</v>
      </c>
      <c r="B732" s="304">
        <f t="shared" ca="1" si="326"/>
        <v>33.121700000000921</v>
      </c>
      <c r="D732" s="306">
        <f t="shared" ca="1" si="327"/>
        <v>-0.74039796548989467</v>
      </c>
      <c r="E732" s="307">
        <f t="shared" ca="1" si="328"/>
        <v>-3.0165997154329771</v>
      </c>
      <c r="F732" s="304">
        <f t="shared" ca="1" si="329"/>
        <v>3.1061331250369637</v>
      </c>
      <c r="G732" s="306">
        <f t="shared" ca="1" si="330"/>
        <v>13.437255052350421</v>
      </c>
      <c r="H732" s="307">
        <f t="shared" ca="1" si="331"/>
        <v>-123.29231424405785</v>
      </c>
      <c r="I732" s="304">
        <f t="shared" ca="1" si="332"/>
        <v>124.02239545742303</v>
      </c>
      <c r="J732" s="306">
        <f t="shared" ca="1" si="333"/>
        <v>764.67878961306644</v>
      </c>
      <c r="K732" s="307">
        <f t="shared" ca="1" si="334"/>
        <v>-6.3797760331117574</v>
      </c>
      <c r="L732" s="304">
        <f t="shared" ca="1" si="319"/>
        <v>764.70540263969428</v>
      </c>
      <c r="M732" s="306">
        <f t="shared" ca="1" si="335"/>
        <v>-1.4622378344046207</v>
      </c>
      <c r="N732" s="304">
        <f t="shared" ca="1" si="336"/>
        <v>-83.780056555734134</v>
      </c>
      <c r="P732" s="310">
        <f t="shared" ca="1" si="337"/>
        <v>23</v>
      </c>
      <c r="Q732" s="304">
        <f t="shared" ca="1" si="338"/>
        <v>0</v>
      </c>
      <c r="R732" s="306">
        <f t="shared" ca="1" si="339"/>
        <v>0</v>
      </c>
      <c r="S732" s="307">
        <f t="shared" ca="1" si="340"/>
        <v>8.5499999999999989</v>
      </c>
      <c r="T732" s="304">
        <f t="shared" ca="1" si="320"/>
        <v>83.875499999999988</v>
      </c>
      <c r="U732" s="311">
        <f t="shared" ca="1" si="321"/>
        <v>0</v>
      </c>
      <c r="V732" s="306">
        <f t="shared" ca="1" si="322"/>
        <v>1.2257817719405506</v>
      </c>
      <c r="W732" s="304">
        <f t="shared" ca="1" si="323"/>
        <v>58.427869518166709</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2.9186223137811425</v>
      </c>
      <c r="AH732" s="304">
        <f t="shared" ca="1" si="347"/>
        <v>-6.8336283608092767</v>
      </c>
    </row>
    <row r="733" spans="1:34" x14ac:dyDescent="0.3">
      <c r="A733" s="347">
        <f t="shared" ca="1" si="325"/>
        <v>1E-4</v>
      </c>
      <c r="B733" s="304">
        <f t="shared" ca="1" si="326"/>
        <v>33.121800000000924</v>
      </c>
      <c r="D733" s="306">
        <f t="shared" ca="1" si="327"/>
        <v>-0.74039654111656972</v>
      </c>
      <c r="E733" s="307">
        <f t="shared" ca="1" si="328"/>
        <v>-3.0165587311606297</v>
      </c>
      <c r="F733" s="304">
        <f t="shared" ca="1" si="329"/>
        <v>3.1060929826131747</v>
      </c>
      <c r="G733" s="306">
        <f t="shared" ca="1" si="330"/>
        <v>13.43718101269631</v>
      </c>
      <c r="H733" s="307">
        <f t="shared" ca="1" si="331"/>
        <v>-123.29261589993096</v>
      </c>
      <c r="I733" s="304">
        <f t="shared" ca="1" si="332"/>
        <v>124.02268731573217</v>
      </c>
      <c r="J733" s="306">
        <f t="shared" ca="1" si="333"/>
        <v>764.67878961306644</v>
      </c>
      <c r="K733" s="307">
        <f t="shared" ca="1" si="334"/>
        <v>-6.3921052796189572</v>
      </c>
      <c r="L733" s="304">
        <f t="shared" ca="1" si="319"/>
        <v>764.70550559938431</v>
      </c>
      <c r="M733" s="306">
        <f t="shared" ca="1" si="335"/>
        <v>-1.4622386913996741</v>
      </c>
      <c r="N733" s="304">
        <f t="shared" ca="1" si="336"/>
        <v>-83.780105657933746</v>
      </c>
      <c r="P733" s="310">
        <f t="shared" ca="1" si="337"/>
        <v>23</v>
      </c>
      <c r="Q733" s="304">
        <f t="shared" ca="1" si="338"/>
        <v>0</v>
      </c>
      <c r="R733" s="306">
        <f t="shared" ca="1" si="339"/>
        <v>0</v>
      </c>
      <c r="S733" s="307">
        <f t="shared" ca="1" si="340"/>
        <v>8.5499999999999989</v>
      </c>
      <c r="T733" s="304">
        <f t="shared" ca="1" si="320"/>
        <v>83.875499999999988</v>
      </c>
      <c r="U733" s="311">
        <f t="shared" ca="1" si="321"/>
        <v>0</v>
      </c>
      <c r="V733" s="306">
        <f t="shared" ca="1" si="322"/>
        <v>1.2257832832381994</v>
      </c>
      <c r="W733" s="304">
        <f t="shared" ca="1" si="323"/>
        <v>58.428216549265969</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2.9185826359829958</v>
      </c>
      <c r="AH733" s="304">
        <f t="shared" ca="1" si="347"/>
        <v>-6.833668949493183</v>
      </c>
    </row>
    <row r="734" spans="1:34" x14ac:dyDescent="0.3">
      <c r="A734" s="347">
        <f t="shared" ca="1" si="325"/>
        <v>1E-4</v>
      </c>
      <c r="B734" s="304">
        <f t="shared" ca="1" si="326"/>
        <v>33.121900000000927</v>
      </c>
      <c r="D734" s="306">
        <f t="shared" ca="1" si="327"/>
        <v>-0.74039511670580305</v>
      </c>
      <c r="E734" s="307">
        <f t="shared" ca="1" si="328"/>
        <v>-3.0165177471419815</v>
      </c>
      <c r="F734" s="304">
        <f t="shared" ca="1" si="329"/>
        <v>3.1060528404494883</v>
      </c>
      <c r="G734" s="306">
        <f t="shared" ca="1" si="330"/>
        <v>13.43710697318464</v>
      </c>
      <c r="H734" s="307">
        <f t="shared" ca="1" si="331"/>
        <v>-123.29291755170568</v>
      </c>
      <c r="I734" s="304">
        <f t="shared" ca="1" si="332"/>
        <v>124.02297917007357</v>
      </c>
      <c r="J734" s="306">
        <f t="shared" ca="1" si="333"/>
        <v>764.67878961306644</v>
      </c>
      <c r="K734" s="307">
        <f t="shared" ca="1" si="334"/>
        <v>-6.4044345562915392</v>
      </c>
      <c r="L734" s="304">
        <f t="shared" ca="1" si="319"/>
        <v>764.70560875809599</v>
      </c>
      <c r="M734" s="306">
        <f t="shared" ca="1" si="335"/>
        <v>-1.462239548385972</v>
      </c>
      <c r="N734" s="304">
        <f t="shared" ca="1" si="336"/>
        <v>-83.780154759631728</v>
      </c>
      <c r="P734" s="310">
        <f t="shared" ca="1" si="337"/>
        <v>23</v>
      </c>
      <c r="Q734" s="304">
        <f t="shared" ca="1" si="338"/>
        <v>0</v>
      </c>
      <c r="R734" s="306">
        <f t="shared" ca="1" si="339"/>
        <v>0</v>
      </c>
      <c r="S734" s="307">
        <f t="shared" ca="1" si="340"/>
        <v>8.5499999999999989</v>
      </c>
      <c r="T734" s="304">
        <f t="shared" ca="1" si="320"/>
        <v>83.875499999999988</v>
      </c>
      <c r="U734" s="311">
        <f t="shared" ca="1" si="321"/>
        <v>0</v>
      </c>
      <c r="V734" s="306">
        <f t="shared" ca="1" si="322"/>
        <v>1.2257847945414098</v>
      </c>
      <c r="W734" s="304">
        <f t="shared" ca="1" si="323"/>
        <v>58.428563578217052</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2.9185429584196232</v>
      </c>
      <c r="AH734" s="304">
        <f t="shared" ca="1" si="347"/>
        <v>-6.833709537925845</v>
      </c>
    </row>
    <row r="735" spans="1:34" x14ac:dyDescent="0.3">
      <c r="A735" s="347">
        <f t="shared" ca="1" si="325"/>
        <v>1E-4</v>
      </c>
      <c r="B735" s="304">
        <f t="shared" ca="1" si="326"/>
        <v>33.122000000000931</v>
      </c>
      <c r="D735" s="306">
        <f t="shared" ca="1" si="327"/>
        <v>-0.74039369225759311</v>
      </c>
      <c r="E735" s="307">
        <f t="shared" ca="1" si="328"/>
        <v>-3.016476763377038</v>
      </c>
      <c r="F735" s="304">
        <f t="shared" ca="1" si="329"/>
        <v>3.1060126985459093</v>
      </c>
      <c r="G735" s="306">
        <f t="shared" ca="1" si="330"/>
        <v>13.437032933815415</v>
      </c>
      <c r="H735" s="307">
        <f t="shared" ca="1" si="331"/>
        <v>-123.29321919938202</v>
      </c>
      <c r="I735" s="304">
        <f t="shared" ca="1" si="332"/>
        <v>124.02327102044723</v>
      </c>
      <c r="J735" s="306">
        <f t="shared" ca="1" si="333"/>
        <v>764.67878961306644</v>
      </c>
      <c r="K735" s="307">
        <f t="shared" ca="1" si="334"/>
        <v>-6.416763863129094</v>
      </c>
      <c r="L735" s="304">
        <f t="shared" ca="1" si="319"/>
        <v>764.70571211583047</v>
      </c>
      <c r="M735" s="306">
        <f t="shared" ca="1" si="335"/>
        <v>-1.4622404053635147</v>
      </c>
      <c r="N735" s="304">
        <f t="shared" ca="1" si="336"/>
        <v>-83.780203860828053</v>
      </c>
      <c r="P735" s="310">
        <f t="shared" ca="1" si="337"/>
        <v>23</v>
      </c>
      <c r="Q735" s="304">
        <f t="shared" ca="1" si="338"/>
        <v>0</v>
      </c>
      <c r="R735" s="306">
        <f t="shared" ca="1" si="339"/>
        <v>0</v>
      </c>
      <c r="S735" s="307">
        <f t="shared" ca="1" si="340"/>
        <v>8.5499999999999989</v>
      </c>
      <c r="T735" s="304">
        <f t="shared" ca="1" si="320"/>
        <v>83.875499999999988</v>
      </c>
      <c r="U735" s="311">
        <f t="shared" ca="1" si="321"/>
        <v>0</v>
      </c>
      <c r="V735" s="306">
        <f t="shared" ca="1" si="322"/>
        <v>1.2257863058501817</v>
      </c>
      <c r="W735" s="304">
        <f t="shared" ca="1" si="323"/>
        <v>58.428910605019944</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2.9185032810910343</v>
      </c>
      <c r="AH735" s="304">
        <f t="shared" ca="1" si="347"/>
        <v>-6.8337501261072582</v>
      </c>
    </row>
    <row r="736" spans="1:34" x14ac:dyDescent="0.3">
      <c r="A736" s="347">
        <f t="shared" ca="1" si="325"/>
        <v>1E-4</v>
      </c>
      <c r="B736" s="304">
        <f t="shared" ca="1" si="326"/>
        <v>33.122100000000934</v>
      </c>
      <c r="D736" s="306">
        <f t="shared" ca="1" si="327"/>
        <v>-0.74039226777193978</v>
      </c>
      <c r="E736" s="307">
        <f t="shared" ca="1" si="328"/>
        <v>-3.0164357798657999</v>
      </c>
      <c r="F736" s="304">
        <f t="shared" ca="1" si="329"/>
        <v>3.1059725569024388</v>
      </c>
      <c r="G736" s="306">
        <f t="shared" ca="1" si="330"/>
        <v>13.436958894588637</v>
      </c>
      <c r="H736" s="307">
        <f t="shared" ca="1" si="331"/>
        <v>-123.29352084296001</v>
      </c>
      <c r="I736" s="304">
        <f t="shared" ca="1" si="332"/>
        <v>124.02356286685315</v>
      </c>
      <c r="J736" s="306">
        <f t="shared" ca="1" si="333"/>
        <v>764.67878961306644</v>
      </c>
      <c r="K736" s="307">
        <f t="shared" ca="1" si="334"/>
        <v>-6.4290932001312111</v>
      </c>
      <c r="L736" s="304">
        <f t="shared" ca="1" si="319"/>
        <v>764.70581567258944</v>
      </c>
      <c r="M736" s="306">
        <f t="shared" ca="1" si="335"/>
        <v>-1.4622412623323022</v>
      </c>
      <c r="N736" s="304">
        <f t="shared" ca="1" si="336"/>
        <v>-83.780252961522763</v>
      </c>
      <c r="P736" s="310">
        <f t="shared" ca="1" si="337"/>
        <v>23</v>
      </c>
      <c r="Q736" s="304">
        <f t="shared" ca="1" si="338"/>
        <v>0</v>
      </c>
      <c r="R736" s="306">
        <f t="shared" ca="1" si="339"/>
        <v>0</v>
      </c>
      <c r="S736" s="307">
        <f t="shared" ca="1" si="340"/>
        <v>8.5499999999999989</v>
      </c>
      <c r="T736" s="304">
        <f t="shared" ca="1" si="320"/>
        <v>83.875499999999988</v>
      </c>
      <c r="U736" s="311">
        <f t="shared" ca="1" si="321"/>
        <v>0</v>
      </c>
      <c r="V736" s="306">
        <f t="shared" ca="1" si="322"/>
        <v>1.2257878171645149</v>
      </c>
      <c r="W736" s="304">
        <f t="shared" ca="1" si="323"/>
        <v>58.429257629674602</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2.9184636039972256</v>
      </c>
      <c r="AH736" s="304">
        <f t="shared" ca="1" si="347"/>
        <v>-6.8337907140374208</v>
      </c>
    </row>
    <row r="737" spans="1:34" x14ac:dyDescent="0.3">
      <c r="A737" s="347">
        <f t="shared" ca="1" si="325"/>
        <v>1E-4</v>
      </c>
      <c r="B737" s="304">
        <f t="shared" ca="1" si="326"/>
        <v>33.122200000000937</v>
      </c>
      <c r="D737" s="306">
        <f t="shared" ca="1" si="327"/>
        <v>-0.74039084324884441</v>
      </c>
      <c r="E737" s="307">
        <f t="shared" ca="1" si="328"/>
        <v>-3.0163947966082736</v>
      </c>
      <c r="F737" s="304">
        <f t="shared" ca="1" si="329"/>
        <v>3.1059324155190824</v>
      </c>
      <c r="G737" s="306">
        <f t="shared" ca="1" si="330"/>
        <v>13.436884855504312</v>
      </c>
      <c r="H737" s="307">
        <f t="shared" ca="1" si="331"/>
        <v>-123.29382248243967</v>
      </c>
      <c r="I737" s="304">
        <f t="shared" ca="1" si="332"/>
        <v>124.02385470929141</v>
      </c>
      <c r="J737" s="306">
        <f t="shared" ca="1" si="333"/>
        <v>764.67878961306644</v>
      </c>
      <c r="K737" s="307">
        <f t="shared" ca="1" si="334"/>
        <v>-6.4414225672974812</v>
      </c>
      <c r="L737" s="304">
        <f t="shared" ca="1" si="319"/>
        <v>764.70591942837393</v>
      </c>
      <c r="M737" s="306">
        <f t="shared" ca="1" si="335"/>
        <v>-1.4622421192923347</v>
      </c>
      <c r="N737" s="304">
        <f t="shared" ca="1" si="336"/>
        <v>-83.78030206171583</v>
      </c>
      <c r="P737" s="310">
        <f t="shared" ca="1" si="337"/>
        <v>23</v>
      </c>
      <c r="Q737" s="304">
        <f t="shared" ca="1" si="338"/>
        <v>0</v>
      </c>
      <c r="R737" s="306">
        <f t="shared" ca="1" si="339"/>
        <v>0</v>
      </c>
      <c r="S737" s="307">
        <f t="shared" ca="1" si="340"/>
        <v>8.5499999999999989</v>
      </c>
      <c r="T737" s="304">
        <f t="shared" ca="1" si="320"/>
        <v>83.875499999999988</v>
      </c>
      <c r="U737" s="311">
        <f t="shared" ca="1" si="321"/>
        <v>0</v>
      </c>
      <c r="V737" s="306">
        <f t="shared" ca="1" si="322"/>
        <v>1.2257893284844099</v>
      </c>
      <c r="W737" s="304">
        <f t="shared" ca="1" si="323"/>
        <v>58.429604652181077</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2.9184239271382051</v>
      </c>
      <c r="AH737" s="304">
        <f t="shared" ca="1" si="347"/>
        <v>-6.8338313017163284</v>
      </c>
    </row>
    <row r="738" spans="1:34" x14ac:dyDescent="0.3">
      <c r="A738" s="347">
        <f t="shared" ca="1" si="325"/>
        <v>1E-4</v>
      </c>
      <c r="B738" s="304">
        <f t="shared" ca="1" si="326"/>
        <v>33.122300000000941</v>
      </c>
      <c r="D738" s="306">
        <f t="shared" ca="1" si="327"/>
        <v>-0.74038941868830754</v>
      </c>
      <c r="E738" s="307">
        <f t="shared" ca="1" si="328"/>
        <v>-3.0163538136044519</v>
      </c>
      <c r="F738" s="304">
        <f t="shared" ca="1" si="329"/>
        <v>3.1058922743958344</v>
      </c>
      <c r="G738" s="306">
        <f t="shared" ca="1" si="330"/>
        <v>13.436810816562444</v>
      </c>
      <c r="H738" s="307">
        <f t="shared" ca="1" si="331"/>
        <v>-123.29412411782103</v>
      </c>
      <c r="I738" s="304">
        <f t="shared" ca="1" si="332"/>
        <v>124.02414654776202</v>
      </c>
      <c r="J738" s="306">
        <f t="shared" ca="1" si="333"/>
        <v>764.67878961306644</v>
      </c>
      <c r="K738" s="307">
        <f t="shared" ca="1" si="334"/>
        <v>-6.4537519646274939</v>
      </c>
      <c r="L738" s="304">
        <f t="shared" ca="1" si="319"/>
        <v>764.70602338318565</v>
      </c>
      <c r="M738" s="306">
        <f t="shared" ca="1" si="335"/>
        <v>-1.462242976243612</v>
      </c>
      <c r="N738" s="304">
        <f t="shared" ca="1" si="336"/>
        <v>-83.780351161407268</v>
      </c>
      <c r="P738" s="310">
        <f t="shared" ca="1" si="337"/>
        <v>23</v>
      </c>
      <c r="Q738" s="304">
        <f t="shared" ca="1" si="338"/>
        <v>0</v>
      </c>
      <c r="R738" s="306">
        <f t="shared" ca="1" si="339"/>
        <v>0</v>
      </c>
      <c r="S738" s="307">
        <f t="shared" ca="1" si="340"/>
        <v>8.5499999999999989</v>
      </c>
      <c r="T738" s="304">
        <f t="shared" ca="1" si="320"/>
        <v>83.875499999999988</v>
      </c>
      <c r="U738" s="311">
        <f t="shared" ca="1" si="321"/>
        <v>0</v>
      </c>
      <c r="V738" s="306">
        <f t="shared" ca="1" si="322"/>
        <v>1.225790839809866</v>
      </c>
      <c r="W738" s="304">
        <f t="shared" ca="1" si="323"/>
        <v>58.429951672539303</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2.9183842505139674</v>
      </c>
      <c r="AH738" s="304">
        <f t="shared" ca="1" si="347"/>
        <v>-6.8338718891439862</v>
      </c>
    </row>
    <row r="739" spans="1:34" x14ac:dyDescent="0.3">
      <c r="A739" s="347">
        <f t="shared" ca="1" si="325"/>
        <v>1E-4</v>
      </c>
      <c r="B739" s="304">
        <f t="shared" ca="1" si="326"/>
        <v>33.122400000000944</v>
      </c>
      <c r="D739" s="306">
        <f t="shared" ca="1" si="327"/>
        <v>-0.74038799409033196</v>
      </c>
      <c r="E739" s="307">
        <f t="shared" ca="1" si="328"/>
        <v>-3.0163128308543428</v>
      </c>
      <c r="F739" s="304">
        <f t="shared" ca="1" si="329"/>
        <v>3.1058521335327032</v>
      </c>
      <c r="G739" s="306">
        <f t="shared" ca="1" si="330"/>
        <v>13.436736777763034</v>
      </c>
      <c r="H739" s="307">
        <f t="shared" ca="1" si="331"/>
        <v>-123.29442574910411</v>
      </c>
      <c r="I739" s="304">
        <f t="shared" ca="1" si="332"/>
        <v>124.02443838226495</v>
      </c>
      <c r="J739" s="306">
        <f t="shared" ca="1" si="333"/>
        <v>764.67878961306644</v>
      </c>
      <c r="K739" s="307">
        <f t="shared" ca="1" si="334"/>
        <v>-6.4660813921208398</v>
      </c>
      <c r="L739" s="304">
        <f t="shared" ca="1" si="319"/>
        <v>764.70612753702574</v>
      </c>
      <c r="M739" s="306">
        <f t="shared" ca="1" si="335"/>
        <v>-1.4622438331861347</v>
      </c>
      <c r="N739" s="304">
        <f t="shared" ca="1" si="336"/>
        <v>-83.780400260597105</v>
      </c>
      <c r="P739" s="310">
        <f t="shared" ca="1" si="337"/>
        <v>23</v>
      </c>
      <c r="Q739" s="304">
        <f t="shared" ca="1" si="338"/>
        <v>0</v>
      </c>
      <c r="R739" s="306">
        <f t="shared" ca="1" si="339"/>
        <v>0</v>
      </c>
      <c r="S739" s="307">
        <f t="shared" ca="1" si="340"/>
        <v>8.5499999999999989</v>
      </c>
      <c r="T739" s="304">
        <f t="shared" ca="1" si="320"/>
        <v>83.875499999999988</v>
      </c>
      <c r="U739" s="311">
        <f t="shared" ca="1" si="321"/>
        <v>0</v>
      </c>
      <c r="V739" s="306">
        <f t="shared" ca="1" si="322"/>
        <v>1.2257923511408835</v>
      </c>
      <c r="W739" s="304">
        <f t="shared" ca="1" si="323"/>
        <v>58.430298690749247</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2.918344574124518</v>
      </c>
      <c r="AH739" s="304">
        <f t="shared" ca="1" si="347"/>
        <v>-6.8339124763203873</v>
      </c>
    </row>
    <row r="740" spans="1:34" x14ac:dyDescent="0.3">
      <c r="A740" s="347">
        <f t="shared" ca="1" si="325"/>
        <v>1E-4</v>
      </c>
      <c r="B740" s="304">
        <f t="shared" ca="1" si="326"/>
        <v>33.122500000000947</v>
      </c>
      <c r="D740" s="306">
        <f t="shared" ca="1" si="327"/>
        <v>-0.7403865694549141</v>
      </c>
      <c r="E740" s="307">
        <f t="shared" ca="1" si="328"/>
        <v>-3.0162718483579507</v>
      </c>
      <c r="F740" s="304">
        <f t="shared" ca="1" si="329"/>
        <v>3.1058119929296919</v>
      </c>
      <c r="G740" s="306">
        <f t="shared" ca="1" si="330"/>
        <v>13.436662739106088</v>
      </c>
      <c r="H740" s="307">
        <f t="shared" ca="1" si="331"/>
        <v>-123.29472737628895</v>
      </c>
      <c r="I740" s="304">
        <f t="shared" ca="1" si="332"/>
        <v>124.02473021280029</v>
      </c>
      <c r="J740" s="306">
        <f t="shared" ca="1" si="333"/>
        <v>764.67878961306644</v>
      </c>
      <c r="K740" s="307">
        <f t="shared" ca="1" si="334"/>
        <v>-6.4784108497771093</v>
      </c>
      <c r="L740" s="304">
        <f t="shared" ca="1" si="319"/>
        <v>764.70623188989566</v>
      </c>
      <c r="M740" s="306">
        <f t="shared" ca="1" si="335"/>
        <v>-1.4622446901199027</v>
      </c>
      <c r="N740" s="304">
        <f t="shared" ca="1" si="336"/>
        <v>-83.780449359285328</v>
      </c>
      <c r="P740" s="310">
        <f t="shared" ca="1" si="337"/>
        <v>23</v>
      </c>
      <c r="Q740" s="304">
        <f t="shared" ca="1" si="338"/>
        <v>0</v>
      </c>
      <c r="R740" s="306">
        <f t="shared" ca="1" si="339"/>
        <v>0</v>
      </c>
      <c r="S740" s="307">
        <f t="shared" ca="1" si="340"/>
        <v>8.5499999999999989</v>
      </c>
      <c r="T740" s="304">
        <f t="shared" ca="1" si="320"/>
        <v>83.875499999999988</v>
      </c>
      <c r="U740" s="311">
        <f t="shared" ca="1" si="321"/>
        <v>0</v>
      </c>
      <c r="V740" s="306">
        <f t="shared" ca="1" si="322"/>
        <v>1.225793862477462</v>
      </c>
      <c r="W740" s="304">
        <f t="shared" ca="1" si="323"/>
        <v>58.430645706810949</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2.9183048979698665</v>
      </c>
      <c r="AH740" s="304">
        <f t="shared" ca="1" si="347"/>
        <v>-6.8339530632455272</v>
      </c>
    </row>
    <row r="741" spans="1:34" x14ac:dyDescent="0.3">
      <c r="A741" s="347">
        <f t="shared" ca="1" si="325"/>
        <v>1E-4</v>
      </c>
      <c r="B741" s="304">
        <f t="shared" ca="1" si="326"/>
        <v>33.122600000000951</v>
      </c>
      <c r="D741" s="306">
        <f t="shared" ca="1" si="327"/>
        <v>-0.74038514478205786</v>
      </c>
      <c r="E741" s="307">
        <f t="shared" ca="1" si="328"/>
        <v>-3.0162308661152704</v>
      </c>
      <c r="F741" s="304">
        <f t="shared" ca="1" si="329"/>
        <v>3.1057718525867966</v>
      </c>
      <c r="G741" s="306">
        <f t="shared" ca="1" si="330"/>
        <v>13.43658870059161</v>
      </c>
      <c r="H741" s="307">
        <f t="shared" ca="1" si="331"/>
        <v>-123.29502899937556</v>
      </c>
      <c r="I741" s="304">
        <f t="shared" ca="1" si="332"/>
        <v>124.02502203936804</v>
      </c>
      <c r="J741" s="306">
        <f t="shared" ca="1" si="333"/>
        <v>764.67878961306644</v>
      </c>
      <c r="K741" s="307">
        <f t="shared" ca="1" si="334"/>
        <v>-6.4907403375958923</v>
      </c>
      <c r="L741" s="304">
        <f t="shared" ca="1" si="319"/>
        <v>764.70633644179668</v>
      </c>
      <c r="M741" s="306">
        <f t="shared" ca="1" si="335"/>
        <v>-1.4622455470449163</v>
      </c>
      <c r="N741" s="304">
        <f t="shared" ca="1" si="336"/>
        <v>-83.780498457471964</v>
      </c>
      <c r="P741" s="310">
        <f t="shared" ca="1" si="337"/>
        <v>23</v>
      </c>
      <c r="Q741" s="304">
        <f t="shared" ca="1" si="338"/>
        <v>0</v>
      </c>
      <c r="R741" s="306">
        <f t="shared" ca="1" si="339"/>
        <v>0</v>
      </c>
      <c r="S741" s="307">
        <f t="shared" ca="1" si="340"/>
        <v>8.5499999999999989</v>
      </c>
      <c r="T741" s="304">
        <f t="shared" ca="1" si="320"/>
        <v>83.875499999999988</v>
      </c>
      <c r="U741" s="311">
        <f t="shared" ca="1" si="321"/>
        <v>0</v>
      </c>
      <c r="V741" s="306">
        <f t="shared" ca="1" si="322"/>
        <v>1.2257953738196021</v>
      </c>
      <c r="W741" s="304">
        <f t="shared" ca="1" si="323"/>
        <v>58.430992720724397</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2.9182652220500032</v>
      </c>
      <c r="AH741" s="304">
        <f t="shared" ca="1" si="347"/>
        <v>-6.8339936499194103</v>
      </c>
    </row>
    <row r="742" spans="1:34" x14ac:dyDescent="0.3">
      <c r="A742" s="347">
        <f t="shared" ca="1" si="325"/>
        <v>1E-4</v>
      </c>
      <c r="B742" s="304">
        <f t="shared" ca="1" si="326"/>
        <v>33.122700000000954</v>
      </c>
      <c r="D742" s="306">
        <f t="shared" ca="1" si="327"/>
        <v>-0.74038372007176179</v>
      </c>
      <c r="E742" s="307">
        <f t="shared" ca="1" si="328"/>
        <v>-3.0161898841263044</v>
      </c>
      <c r="F742" s="304">
        <f t="shared" ca="1" si="329"/>
        <v>3.1057317125040198</v>
      </c>
      <c r="G742" s="306">
        <f t="shared" ca="1" si="330"/>
        <v>13.436514662219603</v>
      </c>
      <c r="H742" s="307">
        <f t="shared" ca="1" si="331"/>
        <v>-123.29533061836398</v>
      </c>
      <c r="I742" s="304">
        <f t="shared" ca="1" si="332"/>
        <v>124.0253138619682</v>
      </c>
      <c r="J742" s="306">
        <f t="shared" ca="1" si="333"/>
        <v>764.67878961306644</v>
      </c>
      <c r="K742" s="307">
        <f t="shared" ca="1" si="334"/>
        <v>-6.5030698555767792</v>
      </c>
      <c r="L742" s="304">
        <f t="shared" ca="1" si="319"/>
        <v>764.70644119273038</v>
      </c>
      <c r="M742" s="306">
        <f t="shared" ca="1" si="335"/>
        <v>-1.4622464039611753</v>
      </c>
      <c r="N742" s="304">
        <f t="shared" ca="1" si="336"/>
        <v>-83.780547555157014</v>
      </c>
      <c r="P742" s="310">
        <f t="shared" ca="1" si="337"/>
        <v>23</v>
      </c>
      <c r="Q742" s="304">
        <f t="shared" ca="1" si="338"/>
        <v>0</v>
      </c>
      <c r="R742" s="306">
        <f t="shared" ca="1" si="339"/>
        <v>0</v>
      </c>
      <c r="S742" s="307">
        <f t="shared" ca="1" si="340"/>
        <v>8.5499999999999989</v>
      </c>
      <c r="T742" s="304">
        <f t="shared" ca="1" si="320"/>
        <v>83.875499999999988</v>
      </c>
      <c r="U742" s="311">
        <f t="shared" ca="1" si="321"/>
        <v>0</v>
      </c>
      <c r="V742" s="306">
        <f t="shared" ca="1" si="322"/>
        <v>1.225796885167304</v>
      </c>
      <c r="W742" s="304">
        <f t="shared" ca="1" si="323"/>
        <v>58.431339732489548</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2.9182255463649325</v>
      </c>
      <c r="AH742" s="304">
        <f t="shared" ca="1" si="347"/>
        <v>-6.8340342363420357</v>
      </c>
    </row>
    <row r="743" spans="1:34" x14ac:dyDescent="0.3">
      <c r="A743" s="347">
        <f t="shared" ca="1" si="325"/>
        <v>1E-4</v>
      </c>
      <c r="B743" s="304">
        <f t="shared" ca="1" si="326"/>
        <v>33.122800000000957</v>
      </c>
      <c r="D743" s="306">
        <f t="shared" ca="1" si="327"/>
        <v>-0.74038229532402833</v>
      </c>
      <c r="E743" s="307">
        <f t="shared" ca="1" si="328"/>
        <v>-3.0161489023910564</v>
      </c>
      <c r="F743" s="304">
        <f t="shared" ca="1" si="329"/>
        <v>3.1056915726813652</v>
      </c>
      <c r="G743" s="306">
        <f t="shared" ca="1" si="330"/>
        <v>13.43644062399007</v>
      </c>
      <c r="H743" s="307">
        <f t="shared" ca="1" si="331"/>
        <v>-123.29563223325421</v>
      </c>
      <c r="I743" s="304">
        <f t="shared" ca="1" si="332"/>
        <v>124.02560568060083</v>
      </c>
      <c r="J743" s="306">
        <f t="shared" ca="1" si="333"/>
        <v>764.67878961306644</v>
      </c>
      <c r="K743" s="307">
        <f t="shared" ca="1" si="334"/>
        <v>-6.5153994037193597</v>
      </c>
      <c r="L743" s="304">
        <f t="shared" ca="1" si="319"/>
        <v>764.70654614269802</v>
      </c>
      <c r="M743" s="306">
        <f t="shared" ca="1" si="335"/>
        <v>-1.4622472608686801</v>
      </c>
      <c r="N743" s="304">
        <f t="shared" ca="1" si="336"/>
        <v>-83.780596652340463</v>
      </c>
      <c r="P743" s="310">
        <f t="shared" ca="1" si="337"/>
        <v>23</v>
      </c>
      <c r="Q743" s="304">
        <f t="shared" ca="1" si="338"/>
        <v>0</v>
      </c>
      <c r="R743" s="306">
        <f t="shared" ca="1" si="339"/>
        <v>0</v>
      </c>
      <c r="S743" s="307">
        <f t="shared" ca="1" si="340"/>
        <v>8.5499999999999989</v>
      </c>
      <c r="T743" s="304">
        <f t="shared" ca="1" si="320"/>
        <v>83.875499999999988</v>
      </c>
      <c r="U743" s="311">
        <f t="shared" ca="1" si="321"/>
        <v>0</v>
      </c>
      <c r="V743" s="306">
        <f t="shared" ca="1" si="322"/>
        <v>1.2257983965205665</v>
      </c>
      <c r="W743" s="304">
        <f t="shared" ca="1" si="323"/>
        <v>58.431686742106386</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2.9181858709146598</v>
      </c>
      <c r="AH743" s="304">
        <f t="shared" ca="1" si="347"/>
        <v>-6.834074822513398</v>
      </c>
    </row>
    <row r="744" spans="1:34" x14ac:dyDescent="0.3">
      <c r="A744" s="347">
        <f t="shared" ca="1" si="325"/>
        <v>1E-4</v>
      </c>
      <c r="B744" s="304">
        <f t="shared" ca="1" si="326"/>
        <v>33.122900000000961</v>
      </c>
      <c r="D744" s="306">
        <f t="shared" ca="1" si="327"/>
        <v>-0.74038087053885782</v>
      </c>
      <c r="E744" s="307">
        <f t="shared" ca="1" si="328"/>
        <v>-3.0161079209095281</v>
      </c>
      <c r="F744" s="304">
        <f t="shared" ca="1" si="329"/>
        <v>3.105651433118835</v>
      </c>
      <c r="G744" s="306">
        <f t="shared" ca="1" si="330"/>
        <v>13.436366585903016</v>
      </c>
      <c r="H744" s="307">
        <f t="shared" ca="1" si="331"/>
        <v>-123.2959338440463</v>
      </c>
      <c r="I744" s="304">
        <f t="shared" ca="1" si="332"/>
        <v>124.02589749526594</v>
      </c>
      <c r="J744" s="306">
        <f t="shared" ca="1" si="333"/>
        <v>764.67878961306644</v>
      </c>
      <c r="K744" s="307">
        <f t="shared" ca="1" si="334"/>
        <v>-6.5277289820232243</v>
      </c>
      <c r="L744" s="304">
        <f t="shared" ca="1" si="319"/>
        <v>764.70665129170095</v>
      </c>
      <c r="M744" s="306">
        <f t="shared" ca="1" si="335"/>
        <v>-1.4622481177674309</v>
      </c>
      <c r="N744" s="304">
        <f t="shared" ca="1" si="336"/>
        <v>-83.780645749022355</v>
      </c>
      <c r="P744" s="310">
        <f t="shared" ca="1" si="337"/>
        <v>23</v>
      </c>
      <c r="Q744" s="304">
        <f t="shared" ca="1" si="338"/>
        <v>0</v>
      </c>
      <c r="R744" s="306">
        <f t="shared" ca="1" si="339"/>
        <v>0</v>
      </c>
      <c r="S744" s="307">
        <f t="shared" ca="1" si="340"/>
        <v>8.5499999999999989</v>
      </c>
      <c r="T744" s="304">
        <f t="shared" ca="1" si="320"/>
        <v>83.875499999999988</v>
      </c>
      <c r="U744" s="311">
        <f t="shared" ca="1" si="321"/>
        <v>0</v>
      </c>
      <c r="V744" s="306">
        <f t="shared" ca="1" si="322"/>
        <v>1.2257999078793902</v>
      </c>
      <c r="W744" s="304">
        <f t="shared" ca="1" si="323"/>
        <v>58.432033749574899</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2.9181461956991841</v>
      </c>
      <c r="AH744" s="304">
        <f t="shared" ca="1" si="347"/>
        <v>-6.8341154084334965</v>
      </c>
    </row>
    <row r="745" spans="1:34" x14ac:dyDescent="0.3">
      <c r="A745" s="347">
        <f t="shared" ca="1" si="325"/>
        <v>1E-4</v>
      </c>
      <c r="B745" s="304">
        <f t="shared" ca="1" si="326"/>
        <v>33.123000000000964</v>
      </c>
      <c r="D745" s="306">
        <f t="shared" ca="1" si="327"/>
        <v>-0.74037944571624859</v>
      </c>
      <c r="E745" s="307">
        <f t="shared" ca="1" si="328"/>
        <v>-3.0160669396817221</v>
      </c>
      <c r="F745" s="304">
        <f t="shared" ca="1" si="329"/>
        <v>3.1056112938164313</v>
      </c>
      <c r="G745" s="306">
        <f t="shared" ca="1" si="330"/>
        <v>13.436292547958445</v>
      </c>
      <c r="H745" s="307">
        <f t="shared" ca="1" si="331"/>
        <v>-123.29623545074027</v>
      </c>
      <c r="I745" s="304">
        <f t="shared" ca="1" si="332"/>
        <v>124.02618930596354</v>
      </c>
      <c r="J745" s="306">
        <f t="shared" ca="1" si="333"/>
        <v>764.67878961306644</v>
      </c>
      <c r="K745" s="307">
        <f t="shared" ca="1" si="334"/>
        <v>-6.5400585904879636</v>
      </c>
      <c r="L745" s="304">
        <f t="shared" ca="1" si="319"/>
        <v>764.70675663974055</v>
      </c>
      <c r="M745" s="306">
        <f t="shared" ca="1" si="335"/>
        <v>-1.4622489746574276</v>
      </c>
      <c r="N745" s="304">
        <f t="shared" ca="1" si="336"/>
        <v>-83.780694845202675</v>
      </c>
      <c r="P745" s="310">
        <f t="shared" ca="1" si="337"/>
        <v>23</v>
      </c>
      <c r="Q745" s="304">
        <f t="shared" ca="1" si="338"/>
        <v>0</v>
      </c>
      <c r="R745" s="306">
        <f t="shared" ca="1" si="339"/>
        <v>0</v>
      </c>
      <c r="S745" s="307">
        <f t="shared" ca="1" si="340"/>
        <v>8.5499999999999989</v>
      </c>
      <c r="T745" s="304">
        <f t="shared" ca="1" si="320"/>
        <v>83.875499999999988</v>
      </c>
      <c r="U745" s="311">
        <f t="shared" ca="1" si="321"/>
        <v>0</v>
      </c>
      <c r="V745" s="306">
        <f t="shared" ca="1" si="322"/>
        <v>1.2258014192437752</v>
      </c>
      <c r="W745" s="304">
        <f t="shared" ca="1" si="323"/>
        <v>58.432380754895092</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2.9181065207185135</v>
      </c>
      <c r="AH745" s="304">
        <f t="shared" ca="1" si="347"/>
        <v>-6.8341559941023284</v>
      </c>
    </row>
    <row r="746" spans="1:34" x14ac:dyDescent="0.3">
      <c r="A746" s="347">
        <f t="shared" ca="1" si="325"/>
        <v>1E-4</v>
      </c>
      <c r="B746" s="304">
        <f t="shared" ca="1" si="326"/>
        <v>33.123100000000967</v>
      </c>
      <c r="D746" s="306">
        <f t="shared" ca="1" si="327"/>
        <v>-0.74037802085620408</v>
      </c>
      <c r="E746" s="307">
        <f t="shared" ca="1" si="328"/>
        <v>-3.0160259587076377</v>
      </c>
      <c r="F746" s="304">
        <f t="shared" ca="1" si="329"/>
        <v>3.1055711547741542</v>
      </c>
      <c r="G746" s="306">
        <f t="shared" ca="1" si="330"/>
        <v>13.436218510156358</v>
      </c>
      <c r="H746" s="307">
        <f t="shared" ca="1" si="331"/>
        <v>-123.29653705333614</v>
      </c>
      <c r="I746" s="304">
        <f t="shared" ca="1" si="332"/>
        <v>124.02648111269367</v>
      </c>
      <c r="J746" s="306">
        <f t="shared" ca="1" si="333"/>
        <v>764.67878961306644</v>
      </c>
      <c r="K746" s="307">
        <f t="shared" ca="1" si="334"/>
        <v>-6.5523882291131672</v>
      </c>
      <c r="L746" s="304">
        <f t="shared" ca="1" si="319"/>
        <v>764.70686218681817</v>
      </c>
      <c r="M746" s="306">
        <f t="shared" ca="1" si="335"/>
        <v>-1.4622498315386705</v>
      </c>
      <c r="N746" s="304">
        <f t="shared" ca="1" si="336"/>
        <v>-83.780743940881436</v>
      </c>
      <c r="P746" s="310">
        <f t="shared" ca="1" si="337"/>
        <v>23</v>
      </c>
      <c r="Q746" s="304">
        <f t="shared" ca="1" si="338"/>
        <v>0</v>
      </c>
      <c r="R746" s="306">
        <f t="shared" ca="1" si="339"/>
        <v>0</v>
      </c>
      <c r="S746" s="307">
        <f t="shared" ca="1" si="340"/>
        <v>8.5499999999999989</v>
      </c>
      <c r="T746" s="304">
        <f t="shared" ca="1" si="320"/>
        <v>83.875499999999988</v>
      </c>
      <c r="U746" s="311">
        <f t="shared" ca="1" si="321"/>
        <v>0</v>
      </c>
      <c r="V746" s="306">
        <f t="shared" ca="1" si="322"/>
        <v>1.2258029306137215</v>
      </c>
      <c r="W746" s="304">
        <f t="shared" ca="1" si="323"/>
        <v>58.432727758066953</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2.9180668459726435</v>
      </c>
      <c r="AH746" s="304">
        <f t="shared" ca="1" si="347"/>
        <v>-6.8341965795198947</v>
      </c>
    </row>
    <row r="747" spans="1:34" x14ac:dyDescent="0.3">
      <c r="A747" s="347">
        <f t="shared" ca="1" si="325"/>
        <v>1E-4</v>
      </c>
      <c r="B747" s="304">
        <f t="shared" ca="1" si="326"/>
        <v>33.123200000000971</v>
      </c>
      <c r="D747" s="306">
        <f t="shared" ca="1" si="327"/>
        <v>-0.74037659595872407</v>
      </c>
      <c r="E747" s="307">
        <f t="shared" ca="1" si="328"/>
        <v>-3.0159849779872756</v>
      </c>
      <c r="F747" s="304">
        <f t="shared" ca="1" si="329"/>
        <v>3.1055310159920051</v>
      </c>
      <c r="G747" s="306">
        <f t="shared" ca="1" si="330"/>
        <v>13.436144472496762</v>
      </c>
      <c r="H747" s="307">
        <f t="shared" ca="1" si="331"/>
        <v>-123.29683865183394</v>
      </c>
      <c r="I747" s="304">
        <f t="shared" ca="1" si="332"/>
        <v>124.02677291545635</v>
      </c>
      <c r="J747" s="306">
        <f t="shared" ca="1" si="333"/>
        <v>764.67878961306644</v>
      </c>
      <c r="K747" s="307">
        <f t="shared" ca="1" si="334"/>
        <v>-6.5647178978984257</v>
      </c>
      <c r="L747" s="304">
        <f t="shared" ca="1" si="319"/>
        <v>764.7069679329353</v>
      </c>
      <c r="M747" s="306">
        <f t="shared" ca="1" si="335"/>
        <v>-1.4622506884111597</v>
      </c>
      <c r="N747" s="304">
        <f t="shared" ca="1" si="336"/>
        <v>-83.78079303605864</v>
      </c>
      <c r="P747" s="310">
        <f t="shared" ca="1" si="337"/>
        <v>23</v>
      </c>
      <c r="Q747" s="304">
        <f t="shared" ca="1" si="338"/>
        <v>0</v>
      </c>
      <c r="R747" s="306">
        <f t="shared" ca="1" si="339"/>
        <v>0</v>
      </c>
      <c r="S747" s="307">
        <f t="shared" ca="1" si="340"/>
        <v>8.5499999999999989</v>
      </c>
      <c r="T747" s="304">
        <f t="shared" ca="1" si="320"/>
        <v>83.875499999999988</v>
      </c>
      <c r="U747" s="311">
        <f t="shared" ca="1" si="321"/>
        <v>0</v>
      </c>
      <c r="V747" s="306">
        <f t="shared" ca="1" si="322"/>
        <v>1.2258044419892289</v>
      </c>
      <c r="W747" s="304">
        <f t="shared" ca="1" si="323"/>
        <v>58.433074759090452</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2.9180271714615751</v>
      </c>
      <c r="AH747" s="304">
        <f t="shared" ca="1" si="347"/>
        <v>-6.8342371646861944</v>
      </c>
    </row>
    <row r="748" spans="1:34" x14ac:dyDescent="0.3">
      <c r="A748" s="347">
        <f t="shared" ca="1" si="325"/>
        <v>1E-4</v>
      </c>
      <c r="B748" s="304">
        <f t="shared" ca="1" si="326"/>
        <v>33.123300000000974</v>
      </c>
      <c r="D748" s="306">
        <f t="shared" ca="1" si="327"/>
        <v>-0.74037517102380856</v>
      </c>
      <c r="E748" s="307">
        <f t="shared" ca="1" si="328"/>
        <v>-3.0159439975206404</v>
      </c>
      <c r="F748" s="304">
        <f t="shared" ca="1" si="329"/>
        <v>3.1054908774699879</v>
      </c>
      <c r="G748" s="306">
        <f t="shared" ca="1" si="330"/>
        <v>13.43607043497966</v>
      </c>
      <c r="H748" s="307">
        <f t="shared" ca="1" si="331"/>
        <v>-123.2971402462337</v>
      </c>
      <c r="I748" s="304">
        <f t="shared" ca="1" si="332"/>
        <v>124.02706471425161</v>
      </c>
      <c r="J748" s="306">
        <f t="shared" ca="1" si="333"/>
        <v>764.67878961306644</v>
      </c>
      <c r="K748" s="307">
        <f t="shared" ca="1" si="334"/>
        <v>-6.5770475968433288</v>
      </c>
      <c r="L748" s="304">
        <f t="shared" ca="1" si="319"/>
        <v>764.70707387809318</v>
      </c>
      <c r="M748" s="306">
        <f t="shared" ca="1" si="335"/>
        <v>-1.4622515452748952</v>
      </c>
      <c r="N748" s="304">
        <f t="shared" ca="1" si="336"/>
        <v>-83.780842130734314</v>
      </c>
      <c r="P748" s="310">
        <f t="shared" ca="1" si="337"/>
        <v>23</v>
      </c>
      <c r="Q748" s="304">
        <f t="shared" ca="1" si="338"/>
        <v>0</v>
      </c>
      <c r="R748" s="306">
        <f t="shared" ca="1" si="339"/>
        <v>0</v>
      </c>
      <c r="S748" s="307">
        <f t="shared" ca="1" si="340"/>
        <v>8.5499999999999989</v>
      </c>
      <c r="T748" s="304">
        <f t="shared" ca="1" si="320"/>
        <v>83.875499999999988</v>
      </c>
      <c r="U748" s="311">
        <f t="shared" ca="1" si="321"/>
        <v>0</v>
      </c>
      <c r="V748" s="306">
        <f t="shared" ca="1" si="322"/>
        <v>1.2258059533702972</v>
      </c>
      <c r="W748" s="304">
        <f t="shared" ca="1" si="323"/>
        <v>58.433421757965583</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2.9179874971853161</v>
      </c>
      <c r="AH748" s="304">
        <f t="shared" ca="1" si="347"/>
        <v>-6.834277749601223</v>
      </c>
    </row>
    <row r="749" spans="1:34" x14ac:dyDescent="0.3">
      <c r="A749" s="347">
        <f t="shared" ca="1" si="325"/>
        <v>1E-4</v>
      </c>
      <c r="B749" s="304">
        <f t="shared" ca="1" si="326"/>
        <v>33.123400000000977</v>
      </c>
      <c r="D749" s="306">
        <f t="shared" ca="1" si="327"/>
        <v>-0.74037374605145934</v>
      </c>
      <c r="E749" s="307">
        <f t="shared" ca="1" si="328"/>
        <v>-3.015903017307731</v>
      </c>
      <c r="F749" s="304">
        <f t="shared" ca="1" si="329"/>
        <v>3.1054507392081021</v>
      </c>
      <c r="G749" s="306">
        <f t="shared" ca="1" si="330"/>
        <v>13.435996397605056</v>
      </c>
      <c r="H749" s="307">
        <f t="shared" ca="1" si="331"/>
        <v>-123.29744183653543</v>
      </c>
      <c r="I749" s="304">
        <f t="shared" ca="1" si="332"/>
        <v>124.02735650907945</v>
      </c>
      <c r="J749" s="306">
        <f t="shared" ca="1" si="333"/>
        <v>764.67878961306644</v>
      </c>
      <c r="K749" s="307">
        <f t="shared" ca="1" si="334"/>
        <v>-6.5893773259474671</v>
      </c>
      <c r="L749" s="304">
        <f t="shared" ca="1" si="319"/>
        <v>764.7071800222933</v>
      </c>
      <c r="M749" s="306">
        <f t="shared" ca="1" si="335"/>
        <v>-1.4622524021298775</v>
      </c>
      <c r="N749" s="304">
        <f t="shared" ca="1" si="336"/>
        <v>-83.780891224908444</v>
      </c>
      <c r="P749" s="310">
        <f t="shared" ca="1" si="337"/>
        <v>23</v>
      </c>
      <c r="Q749" s="304">
        <f t="shared" ca="1" si="338"/>
        <v>0</v>
      </c>
      <c r="R749" s="306">
        <f t="shared" ca="1" si="339"/>
        <v>0</v>
      </c>
      <c r="S749" s="307">
        <f t="shared" ca="1" si="340"/>
        <v>8.5499999999999989</v>
      </c>
      <c r="T749" s="304">
        <f t="shared" ca="1" si="320"/>
        <v>83.875499999999988</v>
      </c>
      <c r="U749" s="311">
        <f t="shared" ca="1" si="321"/>
        <v>0</v>
      </c>
      <c r="V749" s="306">
        <f t="shared" ca="1" si="322"/>
        <v>1.2258074647569268</v>
      </c>
      <c r="W749" s="304">
        <f t="shared" ca="1" si="323"/>
        <v>58.433768754692345</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2.9179478231438623</v>
      </c>
      <c r="AH749" s="304">
        <f t="shared" ca="1" si="347"/>
        <v>-6.8343183342649816</v>
      </c>
    </row>
    <row r="750" spans="1:34" x14ac:dyDescent="0.3">
      <c r="A750" s="347">
        <f t="shared" ca="1" si="325"/>
        <v>1E-4</v>
      </c>
      <c r="B750" s="304">
        <f t="shared" ca="1" si="326"/>
        <v>33.12350000000098</v>
      </c>
      <c r="D750" s="306">
        <f t="shared" ca="1" si="327"/>
        <v>-0.74037232104167494</v>
      </c>
      <c r="E750" s="307">
        <f t="shared" ca="1" si="328"/>
        <v>-3.0158620373485485</v>
      </c>
      <c r="F750" s="304">
        <f t="shared" ca="1" si="329"/>
        <v>3.1054106012063487</v>
      </c>
      <c r="G750" s="306">
        <f t="shared" ca="1" si="330"/>
        <v>13.435922360372953</v>
      </c>
      <c r="H750" s="307">
        <f t="shared" ca="1" si="331"/>
        <v>-123.29774342273916</v>
      </c>
      <c r="I750" s="304">
        <f t="shared" ca="1" si="332"/>
        <v>124.02764829993991</v>
      </c>
      <c r="J750" s="306">
        <f t="shared" ca="1" si="333"/>
        <v>764.67878961306644</v>
      </c>
      <c r="K750" s="307">
        <f t="shared" ca="1" si="334"/>
        <v>-6.6017070852104309</v>
      </c>
      <c r="L750" s="304">
        <f t="shared" ca="1" si="319"/>
        <v>764.7072863655369</v>
      </c>
      <c r="M750" s="306">
        <f t="shared" ca="1" si="335"/>
        <v>-1.4622532589761064</v>
      </c>
      <c r="N750" s="304">
        <f t="shared" ca="1" si="336"/>
        <v>-83.78094031858106</v>
      </c>
      <c r="P750" s="310">
        <f t="shared" ca="1" si="337"/>
        <v>23</v>
      </c>
      <c r="Q750" s="304">
        <f t="shared" ca="1" si="338"/>
        <v>0</v>
      </c>
      <c r="R750" s="306">
        <f t="shared" ca="1" si="339"/>
        <v>0</v>
      </c>
      <c r="S750" s="307">
        <f t="shared" ca="1" si="340"/>
        <v>8.5499999999999989</v>
      </c>
      <c r="T750" s="304">
        <f t="shared" ca="1" si="320"/>
        <v>83.875499999999988</v>
      </c>
      <c r="U750" s="311">
        <f t="shared" ca="1" si="321"/>
        <v>0</v>
      </c>
      <c r="V750" s="306">
        <f t="shared" ca="1" si="322"/>
        <v>1.2258089761491171</v>
      </c>
      <c r="W750" s="304">
        <f t="shared" ca="1" si="323"/>
        <v>58.434115749270681</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2.9179081493372188</v>
      </c>
      <c r="AH750" s="304">
        <f t="shared" ca="1" si="347"/>
        <v>-6.8343589186774683</v>
      </c>
    </row>
    <row r="751" spans="1:34" x14ac:dyDescent="0.3">
      <c r="A751" s="347">
        <f t="shared" ca="1" si="325"/>
        <v>1E-4</v>
      </c>
      <c r="B751" s="304">
        <f t="shared" ca="1" si="326"/>
        <v>33.123600000000984</v>
      </c>
      <c r="D751" s="306">
        <f t="shared" ca="1" si="327"/>
        <v>-0.74037089599445782</v>
      </c>
      <c r="E751" s="307">
        <f t="shared" ca="1" si="328"/>
        <v>-3.0158210576431008</v>
      </c>
      <c r="F751" s="304">
        <f t="shared" ca="1" si="329"/>
        <v>3.1053704634647357</v>
      </c>
      <c r="G751" s="306">
        <f t="shared" ca="1" si="330"/>
        <v>13.435848323283354</v>
      </c>
      <c r="H751" s="307">
        <f t="shared" ca="1" si="331"/>
        <v>-123.29804500484492</v>
      </c>
      <c r="I751" s="304">
        <f t="shared" ca="1" si="332"/>
        <v>124.02794008683301</v>
      </c>
      <c r="J751" s="306">
        <f t="shared" ca="1" si="333"/>
        <v>764.67878961306644</v>
      </c>
      <c r="K751" s="307">
        <f t="shared" ca="1" si="334"/>
        <v>-6.6140368746318101</v>
      </c>
      <c r="L751" s="304">
        <f t="shared" ca="1" si="319"/>
        <v>764.70739290782547</v>
      </c>
      <c r="M751" s="306">
        <f t="shared" ca="1" si="335"/>
        <v>-1.4622541158135822</v>
      </c>
      <c r="N751" s="304">
        <f t="shared" ca="1" si="336"/>
        <v>-83.780989411752145</v>
      </c>
      <c r="P751" s="310">
        <f t="shared" ca="1" si="337"/>
        <v>23</v>
      </c>
      <c r="Q751" s="304">
        <f t="shared" ca="1" si="338"/>
        <v>0</v>
      </c>
      <c r="R751" s="306">
        <f t="shared" ca="1" si="339"/>
        <v>0</v>
      </c>
      <c r="S751" s="307">
        <f t="shared" ca="1" si="340"/>
        <v>8.5499999999999989</v>
      </c>
      <c r="T751" s="304">
        <f t="shared" ca="1" si="320"/>
        <v>83.875499999999988</v>
      </c>
      <c r="U751" s="311">
        <f t="shared" ca="1" si="321"/>
        <v>0</v>
      </c>
      <c r="V751" s="306">
        <f t="shared" ca="1" si="322"/>
        <v>1.2258104875468685</v>
      </c>
      <c r="W751" s="304">
        <f t="shared" ca="1" si="323"/>
        <v>58.434462741700607</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2.9178684757653901</v>
      </c>
      <c r="AH751" s="304">
        <f t="shared" ca="1" si="347"/>
        <v>-6.8343995028386768</v>
      </c>
    </row>
    <row r="752" spans="1:34" x14ac:dyDescent="0.3">
      <c r="A752" s="347">
        <f t="shared" ca="1" si="325"/>
        <v>1E-4</v>
      </c>
      <c r="B752" s="304">
        <f t="shared" ca="1" si="326"/>
        <v>33.123700000000987</v>
      </c>
      <c r="D752" s="306">
        <f t="shared" ca="1" si="327"/>
        <v>-0.74036947090980687</v>
      </c>
      <c r="E752" s="307">
        <f t="shared" ca="1" si="328"/>
        <v>-3.0157800781913835</v>
      </c>
      <c r="F752" s="304">
        <f t="shared" ca="1" si="329"/>
        <v>3.1053303259832594</v>
      </c>
      <c r="G752" s="306">
        <f t="shared" ca="1" si="330"/>
        <v>13.435774286336263</v>
      </c>
      <c r="H752" s="307">
        <f t="shared" ca="1" si="331"/>
        <v>-123.29834658285274</v>
      </c>
      <c r="I752" s="304">
        <f t="shared" ca="1" si="332"/>
        <v>124.02823186975878</v>
      </c>
      <c r="J752" s="306">
        <f t="shared" ca="1" si="333"/>
        <v>764.67878961306644</v>
      </c>
      <c r="K752" s="307">
        <f t="shared" ca="1" si="334"/>
        <v>-6.6263666942111952</v>
      </c>
      <c r="L752" s="304">
        <f t="shared" ca="1" si="319"/>
        <v>764.70749964916035</v>
      </c>
      <c r="M752" s="306">
        <f t="shared" ca="1" si="335"/>
        <v>-1.4622549726423049</v>
      </c>
      <c r="N752" s="304">
        <f t="shared" ca="1" si="336"/>
        <v>-83.78103850442173</v>
      </c>
      <c r="P752" s="310">
        <f t="shared" ca="1" si="337"/>
        <v>23</v>
      </c>
      <c r="Q752" s="304">
        <f t="shared" ca="1" si="338"/>
        <v>0</v>
      </c>
      <c r="R752" s="306">
        <f t="shared" ca="1" si="339"/>
        <v>0</v>
      </c>
      <c r="S752" s="307">
        <f t="shared" ca="1" si="340"/>
        <v>8.5499999999999989</v>
      </c>
      <c r="T752" s="304">
        <f t="shared" ca="1" si="320"/>
        <v>83.875499999999988</v>
      </c>
      <c r="U752" s="311">
        <f t="shared" ca="1" si="321"/>
        <v>0</v>
      </c>
      <c r="V752" s="306">
        <f t="shared" ca="1" si="322"/>
        <v>1.2258119989501808</v>
      </c>
      <c r="W752" s="304">
        <f t="shared" ca="1" si="323"/>
        <v>58.434809731982121</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2.9178288024283754</v>
      </c>
      <c r="AH752" s="304">
        <f t="shared" ca="1" si="347"/>
        <v>-6.8344400867486099</v>
      </c>
    </row>
    <row r="753" spans="1:34" x14ac:dyDescent="0.3">
      <c r="A753" s="347">
        <f t="shared" ca="1" si="325"/>
        <v>1E-4</v>
      </c>
      <c r="B753" s="304">
        <f t="shared" ca="1" si="326"/>
        <v>33.12380000000099</v>
      </c>
      <c r="D753" s="306">
        <f t="shared" ca="1" si="327"/>
        <v>-0.74036804578772542</v>
      </c>
      <c r="E753" s="307">
        <f t="shared" ca="1" si="328"/>
        <v>-3.0157390989934001</v>
      </c>
      <c r="F753" s="304">
        <f t="shared" ca="1" si="329"/>
        <v>3.1052901887619235</v>
      </c>
      <c r="G753" s="306">
        <f t="shared" ca="1" si="330"/>
        <v>13.435700249531685</v>
      </c>
      <c r="H753" s="307">
        <f t="shared" ca="1" si="331"/>
        <v>-123.29864815676264</v>
      </c>
      <c r="I753" s="304">
        <f t="shared" ca="1" si="332"/>
        <v>124.02852364871724</v>
      </c>
      <c r="J753" s="306">
        <f t="shared" ca="1" si="333"/>
        <v>764.67878961306644</v>
      </c>
      <c r="K753" s="307">
        <f t="shared" ca="1" si="334"/>
        <v>-6.6386965439481758</v>
      </c>
      <c r="L753" s="304">
        <f t="shared" ca="1" si="319"/>
        <v>764.70760658954282</v>
      </c>
      <c r="M753" s="306">
        <f t="shared" ca="1" si="335"/>
        <v>-1.4622558294622747</v>
      </c>
      <c r="N753" s="304">
        <f t="shared" ca="1" si="336"/>
        <v>-83.781087596589799</v>
      </c>
      <c r="P753" s="310">
        <f t="shared" ca="1" si="337"/>
        <v>23</v>
      </c>
      <c r="Q753" s="304">
        <f t="shared" ca="1" si="338"/>
        <v>0</v>
      </c>
      <c r="R753" s="306">
        <f t="shared" ca="1" si="339"/>
        <v>0</v>
      </c>
      <c r="S753" s="307">
        <f t="shared" ca="1" si="340"/>
        <v>8.5499999999999989</v>
      </c>
      <c r="T753" s="304">
        <f t="shared" ca="1" si="320"/>
        <v>83.875499999999988</v>
      </c>
      <c r="U753" s="311">
        <f t="shared" ca="1" si="321"/>
        <v>0</v>
      </c>
      <c r="V753" s="306">
        <f t="shared" ca="1" si="322"/>
        <v>1.2258135103590544</v>
      </c>
      <c r="W753" s="304">
        <f t="shared" ca="1" si="323"/>
        <v>58.435156720115216</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2.9177891293261737</v>
      </c>
      <c r="AH753" s="304">
        <f t="shared" ca="1" si="347"/>
        <v>-6.8344806704072667</v>
      </c>
    </row>
    <row r="754" spans="1:34" x14ac:dyDescent="0.3">
      <c r="A754" s="347">
        <f t="shared" ca="1" si="325"/>
        <v>1E-4</v>
      </c>
      <c r="B754" s="304">
        <f t="shared" ca="1" si="326"/>
        <v>33.123900000000994</v>
      </c>
      <c r="D754" s="306">
        <f t="shared" ca="1" si="327"/>
        <v>-0.74036662062821201</v>
      </c>
      <c r="E754" s="307">
        <f t="shared" ca="1" si="328"/>
        <v>-3.0156981200491488</v>
      </c>
      <c r="F754" s="304">
        <f t="shared" ca="1" si="329"/>
        <v>3.1052500518007258</v>
      </c>
      <c r="G754" s="306">
        <f t="shared" ca="1" si="330"/>
        <v>13.435626212869622</v>
      </c>
      <c r="H754" s="307">
        <f t="shared" ca="1" si="331"/>
        <v>-123.29894972657465</v>
      </c>
      <c r="I754" s="304">
        <f t="shared" ca="1" si="332"/>
        <v>124.02881542370842</v>
      </c>
      <c r="J754" s="306">
        <f t="shared" ca="1" si="333"/>
        <v>764.67878961306644</v>
      </c>
      <c r="K754" s="307">
        <f t="shared" ca="1" si="334"/>
        <v>-6.6510264238423424</v>
      </c>
      <c r="L754" s="304">
        <f t="shared" ca="1" si="319"/>
        <v>764.70771372897434</v>
      </c>
      <c r="M754" s="306">
        <f t="shared" ca="1" si="335"/>
        <v>-1.4622566862734918</v>
      </c>
      <c r="N754" s="304">
        <f t="shared" ca="1" si="336"/>
        <v>-83.781136688256382</v>
      </c>
      <c r="P754" s="310">
        <f t="shared" ca="1" si="337"/>
        <v>23</v>
      </c>
      <c r="Q754" s="304">
        <f t="shared" ca="1" si="338"/>
        <v>0</v>
      </c>
      <c r="R754" s="306">
        <f t="shared" ca="1" si="339"/>
        <v>0</v>
      </c>
      <c r="S754" s="307">
        <f t="shared" ca="1" si="340"/>
        <v>8.5499999999999989</v>
      </c>
      <c r="T754" s="304">
        <f t="shared" ca="1" si="320"/>
        <v>83.875499999999988</v>
      </c>
      <c r="U754" s="311">
        <f t="shared" ca="1" si="321"/>
        <v>0</v>
      </c>
      <c r="V754" s="306">
        <f t="shared" ca="1" si="322"/>
        <v>1.2258150217734884</v>
      </c>
      <c r="W754" s="304">
        <f t="shared" ca="1" si="323"/>
        <v>58.435503706099837</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2.9177494564587896</v>
      </c>
      <c r="AH754" s="304">
        <f t="shared" ca="1" si="347"/>
        <v>-6.8345212538146463</v>
      </c>
    </row>
    <row r="755" spans="1:34" x14ac:dyDescent="0.3">
      <c r="A755" s="347">
        <f t="shared" ca="1" si="325"/>
        <v>1E-4</v>
      </c>
      <c r="B755" s="304">
        <f t="shared" ca="1" si="326"/>
        <v>33.124000000000997</v>
      </c>
      <c r="D755" s="306">
        <f t="shared" ca="1" si="327"/>
        <v>-0.74036519543126755</v>
      </c>
      <c r="E755" s="307">
        <f t="shared" ca="1" si="328"/>
        <v>-3.0156571413586359</v>
      </c>
      <c r="F755" s="304">
        <f t="shared" ca="1" si="329"/>
        <v>3.1052099150996733</v>
      </c>
      <c r="G755" s="306">
        <f t="shared" ca="1" si="330"/>
        <v>13.435552176350079</v>
      </c>
      <c r="H755" s="307">
        <f t="shared" ca="1" si="331"/>
        <v>-123.29925129228879</v>
      </c>
      <c r="I755" s="304">
        <f t="shared" ca="1" si="332"/>
        <v>124.02910719473233</v>
      </c>
      <c r="J755" s="306">
        <f t="shared" ca="1" si="333"/>
        <v>764.67878961306644</v>
      </c>
      <c r="K755" s="307">
        <f t="shared" ca="1" si="334"/>
        <v>-6.6633563338932857</v>
      </c>
      <c r="L755" s="304">
        <f t="shared" ca="1" si="319"/>
        <v>764.70782106745628</v>
      </c>
      <c r="M755" s="306">
        <f t="shared" ca="1" si="335"/>
        <v>-1.4622575430759563</v>
      </c>
      <c r="N755" s="304">
        <f t="shared" ca="1" si="336"/>
        <v>-83.781185779421477</v>
      </c>
      <c r="P755" s="310">
        <f t="shared" ca="1" si="337"/>
        <v>23</v>
      </c>
      <c r="Q755" s="304">
        <f t="shared" ca="1" si="338"/>
        <v>0</v>
      </c>
      <c r="R755" s="306">
        <f t="shared" ca="1" si="339"/>
        <v>0</v>
      </c>
      <c r="S755" s="307">
        <f t="shared" ca="1" si="340"/>
        <v>8.5499999999999989</v>
      </c>
      <c r="T755" s="304">
        <f t="shared" ca="1" si="320"/>
        <v>83.875499999999988</v>
      </c>
      <c r="U755" s="311">
        <f t="shared" ca="1" si="321"/>
        <v>0</v>
      </c>
      <c r="V755" s="306">
        <f t="shared" ca="1" si="322"/>
        <v>1.2258165331934834</v>
      </c>
      <c r="W755" s="304">
        <f t="shared" ca="1" si="323"/>
        <v>58.435850689935997</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2.9177097838262291</v>
      </c>
      <c r="AH755" s="304">
        <f t="shared" ca="1" si="347"/>
        <v>-6.8345618369707424</v>
      </c>
    </row>
    <row r="756" spans="1:34" x14ac:dyDescent="0.3">
      <c r="A756" s="347">
        <f t="shared" ca="1" si="325"/>
        <v>1E-4</v>
      </c>
      <c r="B756" s="304">
        <f t="shared" ca="1" si="326"/>
        <v>33.124100000001</v>
      </c>
      <c r="D756" s="306">
        <f t="shared" ca="1" si="327"/>
        <v>-0.74036377019689248</v>
      </c>
      <c r="E756" s="307">
        <f t="shared" ca="1" si="328"/>
        <v>-3.0156161629218614</v>
      </c>
      <c r="F756" s="304">
        <f t="shared" ca="1" si="329"/>
        <v>3.1051697786587655</v>
      </c>
      <c r="G756" s="306">
        <f t="shared" ca="1" si="330"/>
        <v>13.435478139973059</v>
      </c>
      <c r="H756" s="307">
        <f t="shared" ca="1" si="331"/>
        <v>-123.29955285390508</v>
      </c>
      <c r="I756" s="304">
        <f t="shared" ca="1" si="332"/>
        <v>124.029398961789</v>
      </c>
      <c r="J756" s="306">
        <f t="shared" ca="1" si="333"/>
        <v>764.67878961306644</v>
      </c>
      <c r="K756" s="307">
        <f t="shared" ca="1" si="334"/>
        <v>-6.6756862741005953</v>
      </c>
      <c r="L756" s="304">
        <f t="shared" ca="1" si="319"/>
        <v>764.70792860499</v>
      </c>
      <c r="M756" s="306">
        <f t="shared" ca="1" si="335"/>
        <v>-1.4622583998696683</v>
      </c>
      <c r="N756" s="304">
        <f t="shared" ca="1" si="336"/>
        <v>-83.781234870085086</v>
      </c>
      <c r="P756" s="310">
        <f t="shared" ca="1" si="337"/>
        <v>23</v>
      </c>
      <c r="Q756" s="304">
        <f t="shared" ca="1" si="338"/>
        <v>0</v>
      </c>
      <c r="R756" s="306">
        <f t="shared" ca="1" si="339"/>
        <v>0</v>
      </c>
      <c r="S756" s="307">
        <f t="shared" ca="1" si="340"/>
        <v>8.5499999999999989</v>
      </c>
      <c r="T756" s="304">
        <f t="shared" ca="1" si="320"/>
        <v>83.875499999999988</v>
      </c>
      <c r="U756" s="311">
        <f t="shared" ca="1" si="321"/>
        <v>0</v>
      </c>
      <c r="V756" s="306">
        <f t="shared" ca="1" si="322"/>
        <v>1.2258180446190392</v>
      </c>
      <c r="W756" s="304">
        <f t="shared" ca="1" si="323"/>
        <v>58.436197671623681</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2.9176701114284898</v>
      </c>
      <c r="AH756" s="304">
        <f t="shared" ca="1" si="347"/>
        <v>-6.8346024198755559</v>
      </c>
    </row>
    <row r="757" spans="1:34" x14ac:dyDescent="0.3">
      <c r="A757" s="347">
        <f t="shared" ca="1" si="325"/>
        <v>1E-4</v>
      </c>
      <c r="B757" s="304">
        <f t="shared" ca="1" si="326"/>
        <v>33.124200000001004</v>
      </c>
      <c r="D757" s="306">
        <f t="shared" ca="1" si="327"/>
        <v>-0.74036234492508823</v>
      </c>
      <c r="E757" s="307">
        <f t="shared" ca="1" si="328"/>
        <v>-3.015575184738827</v>
      </c>
      <c r="F757" s="304">
        <f t="shared" ca="1" si="329"/>
        <v>3.1051296424780057</v>
      </c>
      <c r="G757" s="306">
        <f t="shared" ca="1" si="330"/>
        <v>13.435404103738566</v>
      </c>
      <c r="H757" s="307">
        <f t="shared" ca="1" si="331"/>
        <v>-123.29985441142355</v>
      </c>
      <c r="I757" s="304">
        <f t="shared" ca="1" si="332"/>
        <v>124.02969072487845</v>
      </c>
      <c r="J757" s="306">
        <f t="shared" ca="1" si="333"/>
        <v>764.67878961306644</v>
      </c>
      <c r="K757" s="307">
        <f t="shared" ca="1" si="334"/>
        <v>-6.6880162444638618</v>
      </c>
      <c r="L757" s="304">
        <f t="shared" ca="1" si="319"/>
        <v>764.70803634157687</v>
      </c>
      <c r="M757" s="306">
        <f t="shared" ca="1" si="335"/>
        <v>-1.462259256654628</v>
      </c>
      <c r="N757" s="304">
        <f t="shared" ca="1" si="336"/>
        <v>-83.781283960247222</v>
      </c>
      <c r="P757" s="310">
        <f t="shared" ca="1" si="337"/>
        <v>23</v>
      </c>
      <c r="Q757" s="304">
        <f t="shared" ca="1" si="338"/>
        <v>0</v>
      </c>
      <c r="R757" s="306">
        <f t="shared" ca="1" si="339"/>
        <v>0</v>
      </c>
      <c r="S757" s="307">
        <f t="shared" ca="1" si="340"/>
        <v>8.5499999999999989</v>
      </c>
      <c r="T757" s="304">
        <f t="shared" ca="1" si="320"/>
        <v>83.875499999999988</v>
      </c>
      <c r="U757" s="311">
        <f t="shared" ca="1" si="321"/>
        <v>0</v>
      </c>
      <c r="V757" s="306">
        <f t="shared" ca="1" si="322"/>
        <v>1.2258195560501559</v>
      </c>
      <c r="W757" s="304">
        <f t="shared" ca="1" si="323"/>
        <v>58.436544651162883</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2.9176304392655705</v>
      </c>
      <c r="AH757" s="304">
        <f t="shared" ca="1" si="347"/>
        <v>-6.8346430025290861</v>
      </c>
    </row>
    <row r="758" spans="1:34" x14ac:dyDescent="0.3">
      <c r="A758" s="347">
        <f t="shared" ca="1" si="325"/>
        <v>1E-4</v>
      </c>
      <c r="B758" s="304">
        <f t="shared" ca="1" si="326"/>
        <v>33.124300000001007</v>
      </c>
      <c r="D758" s="306">
        <f t="shared" ca="1" si="327"/>
        <v>-0.74036091961585526</v>
      </c>
      <c r="E758" s="307">
        <f t="shared" ca="1" si="328"/>
        <v>-3.0155342068095337</v>
      </c>
      <c r="F758" s="304">
        <f t="shared" ca="1" si="329"/>
        <v>3.1050895065573934</v>
      </c>
      <c r="G758" s="306">
        <f t="shared" ca="1" si="330"/>
        <v>13.435330067646605</v>
      </c>
      <c r="H758" s="307">
        <f t="shared" ca="1" si="331"/>
        <v>-123.30015596484424</v>
      </c>
      <c r="I758" s="304">
        <f t="shared" ca="1" si="332"/>
        <v>124.02998248400071</v>
      </c>
      <c r="J758" s="306">
        <f t="shared" ca="1" si="333"/>
        <v>764.67878961306644</v>
      </c>
      <c r="K758" s="307">
        <f t="shared" ca="1" si="334"/>
        <v>-6.7003462449826756</v>
      </c>
      <c r="L758" s="304">
        <f t="shared" ca="1" si="319"/>
        <v>764.70814427721837</v>
      </c>
      <c r="M758" s="306">
        <f t="shared" ca="1" si="335"/>
        <v>-1.4622601134308355</v>
      </c>
      <c r="N758" s="304">
        <f t="shared" ca="1" si="336"/>
        <v>-83.7813330499079</v>
      </c>
      <c r="P758" s="310">
        <f t="shared" ca="1" si="337"/>
        <v>23</v>
      </c>
      <c r="Q758" s="304">
        <f t="shared" ca="1" si="338"/>
        <v>0</v>
      </c>
      <c r="R758" s="306">
        <f t="shared" ca="1" si="339"/>
        <v>0</v>
      </c>
      <c r="S758" s="307">
        <f t="shared" ca="1" si="340"/>
        <v>8.5499999999999989</v>
      </c>
      <c r="T758" s="304">
        <f t="shared" ca="1" si="320"/>
        <v>83.875499999999988</v>
      </c>
      <c r="U758" s="311">
        <f t="shared" ca="1" si="321"/>
        <v>0</v>
      </c>
      <c r="V758" s="306">
        <f t="shared" ca="1" si="322"/>
        <v>1.2258210674868331</v>
      </c>
      <c r="W758" s="304">
        <f t="shared" ca="1" si="323"/>
        <v>58.436891628553568</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2.9175907673374795</v>
      </c>
      <c r="AH758" s="304">
        <f t="shared" ca="1" si="347"/>
        <v>-6.8346835849313319</v>
      </c>
    </row>
    <row r="759" spans="1:34" x14ac:dyDescent="0.3">
      <c r="A759" s="347">
        <f t="shared" ca="1" si="325"/>
        <v>1E-4</v>
      </c>
      <c r="B759" s="304">
        <f t="shared" ca="1" si="326"/>
        <v>33.12440000000101</v>
      </c>
      <c r="D759" s="306">
        <f t="shared" ca="1" si="327"/>
        <v>-0.74035949426919301</v>
      </c>
      <c r="E759" s="307">
        <f t="shared" ca="1" si="328"/>
        <v>-3.0154932291339822</v>
      </c>
      <c r="F759" s="304">
        <f t="shared" ca="1" si="329"/>
        <v>3.1050493708969311</v>
      </c>
      <c r="G759" s="306">
        <f t="shared" ca="1" si="330"/>
        <v>13.435256031697179</v>
      </c>
      <c r="H759" s="307">
        <f t="shared" ca="1" si="331"/>
        <v>-123.30045751416715</v>
      </c>
      <c r="I759" s="304">
        <f t="shared" ca="1" si="332"/>
        <v>124.0302742391558</v>
      </c>
      <c r="J759" s="306">
        <f t="shared" ca="1" si="333"/>
        <v>764.67878961306644</v>
      </c>
      <c r="K759" s="307">
        <f t="shared" ca="1" si="334"/>
        <v>-6.7126762756566265</v>
      </c>
      <c r="L759" s="304">
        <f t="shared" ca="1" si="319"/>
        <v>764.70825241191562</v>
      </c>
      <c r="M759" s="306">
        <f t="shared" ca="1" si="335"/>
        <v>-1.4622609701982909</v>
      </c>
      <c r="N759" s="304">
        <f t="shared" ca="1" si="336"/>
        <v>-83.781382139067119</v>
      </c>
      <c r="P759" s="310">
        <f t="shared" ca="1" si="337"/>
        <v>23</v>
      </c>
      <c r="Q759" s="304">
        <f t="shared" ca="1" si="338"/>
        <v>0</v>
      </c>
      <c r="R759" s="306">
        <f t="shared" ca="1" si="339"/>
        <v>0</v>
      </c>
      <c r="S759" s="307">
        <f t="shared" ca="1" si="340"/>
        <v>8.5499999999999989</v>
      </c>
      <c r="T759" s="304">
        <f t="shared" ca="1" si="320"/>
        <v>83.875499999999988</v>
      </c>
      <c r="U759" s="311">
        <f t="shared" ca="1" si="321"/>
        <v>0</v>
      </c>
      <c r="V759" s="306">
        <f t="shared" ca="1" si="322"/>
        <v>1.2258225789290711</v>
      </c>
      <c r="W759" s="304">
        <f t="shared" ca="1" si="323"/>
        <v>58.437238603795734</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2.9175510956442148</v>
      </c>
      <c r="AH759" s="304">
        <f t="shared" ca="1" si="347"/>
        <v>-6.8347241670822898</v>
      </c>
    </row>
    <row r="760" spans="1:34" x14ac:dyDescent="0.3">
      <c r="A760" s="347">
        <f t="shared" ca="1" si="325"/>
        <v>1E-4</v>
      </c>
      <c r="B760" s="304">
        <f t="shared" ca="1" si="326"/>
        <v>33.124500000001014</v>
      </c>
      <c r="D760" s="306">
        <f t="shared" ca="1" si="327"/>
        <v>-0.74035806888510325</v>
      </c>
      <c r="E760" s="307">
        <f t="shared" ca="1" si="328"/>
        <v>-3.0154522517121771</v>
      </c>
      <c r="F760" s="304">
        <f t="shared" ca="1" si="329"/>
        <v>3.1050092354966226</v>
      </c>
      <c r="G760" s="306">
        <f t="shared" ca="1" si="330"/>
        <v>13.435181995890291</v>
      </c>
      <c r="H760" s="307">
        <f t="shared" ca="1" si="331"/>
        <v>-123.30075905939232</v>
      </c>
      <c r="I760" s="304">
        <f t="shared" ca="1" si="332"/>
        <v>124.03056599034373</v>
      </c>
      <c r="J760" s="306">
        <f t="shared" ca="1" si="333"/>
        <v>764.67878961306644</v>
      </c>
      <c r="K760" s="307">
        <f t="shared" ca="1" si="334"/>
        <v>-6.7250063364853041</v>
      </c>
      <c r="L760" s="304">
        <f t="shared" ca="1" si="319"/>
        <v>764.70836074567023</v>
      </c>
      <c r="M760" s="306">
        <f t="shared" ca="1" si="335"/>
        <v>-1.4622618269569945</v>
      </c>
      <c r="N760" s="304">
        <f t="shared" ca="1" si="336"/>
        <v>-83.781431227724894</v>
      </c>
      <c r="P760" s="310">
        <f t="shared" ca="1" si="337"/>
        <v>23</v>
      </c>
      <c r="Q760" s="304">
        <f t="shared" ca="1" si="338"/>
        <v>0</v>
      </c>
      <c r="R760" s="306">
        <f t="shared" ca="1" si="339"/>
        <v>0</v>
      </c>
      <c r="S760" s="307">
        <f t="shared" ca="1" si="340"/>
        <v>8.5499999999999989</v>
      </c>
      <c r="T760" s="304">
        <f t="shared" ca="1" si="320"/>
        <v>83.875499999999988</v>
      </c>
      <c r="U760" s="311">
        <f t="shared" ca="1" si="321"/>
        <v>0</v>
      </c>
      <c r="V760" s="306">
        <f t="shared" ca="1" si="322"/>
        <v>1.2258240903768698</v>
      </c>
      <c r="W760" s="304">
        <f t="shared" ca="1" si="323"/>
        <v>58.437585576889354</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2.9175114241857836</v>
      </c>
      <c r="AH760" s="304">
        <f t="shared" ca="1" si="347"/>
        <v>-6.8347647489819581</v>
      </c>
    </row>
    <row r="761" spans="1:34" x14ac:dyDescent="0.3">
      <c r="A761" s="347">
        <f t="shared" ca="1" si="325"/>
        <v>1E-4</v>
      </c>
      <c r="B761" s="304">
        <f t="shared" ca="1" si="326"/>
        <v>33.124600000001017</v>
      </c>
      <c r="D761" s="306">
        <f t="shared" ca="1" si="327"/>
        <v>-0.74035664346358598</v>
      </c>
      <c r="E761" s="307">
        <f t="shared" ca="1" si="328"/>
        <v>-3.0154112745441193</v>
      </c>
      <c r="F761" s="304">
        <f t="shared" ca="1" si="329"/>
        <v>3.1049691003564686</v>
      </c>
      <c r="G761" s="306">
        <f t="shared" ca="1" si="330"/>
        <v>13.435107960225945</v>
      </c>
      <c r="H761" s="307">
        <f t="shared" ca="1" si="331"/>
        <v>-123.30106060051978</v>
      </c>
      <c r="I761" s="304">
        <f t="shared" ca="1" si="332"/>
        <v>124.03085773756456</v>
      </c>
      <c r="J761" s="306">
        <f t="shared" ca="1" si="333"/>
        <v>764.67878961306644</v>
      </c>
      <c r="K761" s="307">
        <f t="shared" ca="1" si="334"/>
        <v>-6.7373364274682999</v>
      </c>
      <c r="L761" s="304">
        <f t="shared" ca="1" si="319"/>
        <v>764.70846927848334</v>
      </c>
      <c r="M761" s="306">
        <f t="shared" ca="1" si="335"/>
        <v>-1.4622626837069461</v>
      </c>
      <c r="N761" s="304">
        <f t="shared" ca="1" si="336"/>
        <v>-83.781480315881225</v>
      </c>
      <c r="P761" s="310">
        <f t="shared" ca="1" si="337"/>
        <v>23</v>
      </c>
      <c r="Q761" s="304">
        <f t="shared" ca="1" si="338"/>
        <v>0</v>
      </c>
      <c r="R761" s="306">
        <f t="shared" ca="1" si="339"/>
        <v>0</v>
      </c>
      <c r="S761" s="307">
        <f t="shared" ca="1" si="340"/>
        <v>8.5499999999999989</v>
      </c>
      <c r="T761" s="304">
        <f t="shared" ca="1" si="320"/>
        <v>83.875499999999988</v>
      </c>
      <c r="U761" s="311">
        <f t="shared" ca="1" si="321"/>
        <v>0</v>
      </c>
      <c r="V761" s="306">
        <f t="shared" ca="1" si="322"/>
        <v>1.2258256018302292</v>
      </c>
      <c r="W761" s="304">
        <f t="shared" ca="1" si="323"/>
        <v>58.43793254783445</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2.9174717529621823</v>
      </c>
      <c r="AH761" s="304">
        <f t="shared" ca="1" si="347"/>
        <v>-6.8348053306303349</v>
      </c>
    </row>
    <row r="762" spans="1:34" x14ac:dyDescent="0.3">
      <c r="A762" s="347">
        <f t="shared" ca="1" si="325"/>
        <v>1E-4</v>
      </c>
      <c r="B762" s="304">
        <f t="shared" ca="1" si="326"/>
        <v>33.12470000000102</v>
      </c>
      <c r="D762" s="306">
        <f t="shared" ca="1" si="327"/>
        <v>-0.74035521800464299</v>
      </c>
      <c r="E762" s="307">
        <f t="shared" ca="1" si="328"/>
        <v>-3.0153702976298069</v>
      </c>
      <c r="F762" s="304">
        <f t="shared" ca="1" si="329"/>
        <v>3.1049289654764682</v>
      </c>
      <c r="G762" s="306">
        <f t="shared" ca="1" si="330"/>
        <v>13.435033924704145</v>
      </c>
      <c r="H762" s="307">
        <f t="shared" ca="1" si="331"/>
        <v>-123.30136213754953</v>
      </c>
      <c r="I762" s="304">
        <f t="shared" ca="1" si="332"/>
        <v>124.03114948081827</v>
      </c>
      <c r="J762" s="306">
        <f t="shared" ca="1" si="333"/>
        <v>764.67878961306644</v>
      </c>
      <c r="K762" s="307">
        <f t="shared" ca="1" si="334"/>
        <v>-6.7496665486052034</v>
      </c>
      <c r="L762" s="304">
        <f t="shared" ca="1" si="319"/>
        <v>764.70857801035663</v>
      </c>
      <c r="M762" s="306">
        <f t="shared" ca="1" si="335"/>
        <v>-1.4622635404481463</v>
      </c>
      <c r="N762" s="304">
        <f t="shared" ca="1" si="336"/>
        <v>-83.781529403536126</v>
      </c>
      <c r="P762" s="310">
        <f t="shared" ca="1" si="337"/>
        <v>23</v>
      </c>
      <c r="Q762" s="304">
        <f t="shared" ca="1" si="338"/>
        <v>0</v>
      </c>
      <c r="R762" s="306">
        <f t="shared" ca="1" si="339"/>
        <v>0</v>
      </c>
      <c r="S762" s="307">
        <f t="shared" ca="1" si="340"/>
        <v>8.5499999999999989</v>
      </c>
      <c r="T762" s="304">
        <f t="shared" ca="1" si="320"/>
        <v>83.875499999999988</v>
      </c>
      <c r="U762" s="311">
        <f t="shared" ca="1" si="321"/>
        <v>0</v>
      </c>
      <c r="V762" s="306">
        <f t="shared" ca="1" si="322"/>
        <v>1.2258271132891494</v>
      </c>
      <c r="W762" s="304">
        <f t="shared" ca="1" si="323"/>
        <v>58.438279516630992</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2.9174320819734127</v>
      </c>
      <c r="AH762" s="304">
        <f t="shared" ca="1" si="347"/>
        <v>-6.8348459120274221</v>
      </c>
    </row>
    <row r="763" spans="1:34" x14ac:dyDescent="0.3">
      <c r="A763" s="347">
        <f t="shared" ca="1" si="325"/>
        <v>1E-4</v>
      </c>
      <c r="B763" s="304">
        <f t="shared" ca="1" si="326"/>
        <v>33.124800000001024</v>
      </c>
      <c r="D763" s="306">
        <f t="shared" ca="1" si="327"/>
        <v>-0.7403537925082726</v>
      </c>
      <c r="E763" s="307">
        <f t="shared" ca="1" si="328"/>
        <v>-3.0153293209692444</v>
      </c>
      <c r="F763" s="304">
        <f t="shared" ca="1" si="329"/>
        <v>3.104888830856626</v>
      </c>
      <c r="G763" s="306">
        <f t="shared" ca="1" si="330"/>
        <v>13.434959889324894</v>
      </c>
      <c r="H763" s="307">
        <f t="shared" ca="1" si="331"/>
        <v>-123.30166367048163</v>
      </c>
      <c r="I763" s="304">
        <f t="shared" ca="1" si="332"/>
        <v>124.03144122010491</v>
      </c>
      <c r="J763" s="306">
        <f t="shared" ca="1" si="333"/>
        <v>764.67878961306644</v>
      </c>
      <c r="K763" s="307">
        <f t="shared" ca="1" si="334"/>
        <v>-6.7619966998956054</v>
      </c>
      <c r="L763" s="304">
        <f t="shared" ca="1" si="319"/>
        <v>764.70868694129126</v>
      </c>
      <c r="M763" s="306">
        <f t="shared" ca="1" si="335"/>
        <v>-1.4622643971805949</v>
      </c>
      <c r="N763" s="304">
        <f t="shared" ca="1" si="336"/>
        <v>-83.781578490689597</v>
      </c>
      <c r="P763" s="310">
        <f t="shared" ca="1" si="337"/>
        <v>23</v>
      </c>
      <c r="Q763" s="304">
        <f t="shared" ca="1" si="338"/>
        <v>0</v>
      </c>
      <c r="R763" s="306">
        <f t="shared" ca="1" si="339"/>
        <v>0</v>
      </c>
      <c r="S763" s="307">
        <f t="shared" ca="1" si="340"/>
        <v>8.5499999999999989</v>
      </c>
      <c r="T763" s="304">
        <f t="shared" ca="1" si="320"/>
        <v>83.875499999999988</v>
      </c>
      <c r="U763" s="311">
        <f t="shared" ca="1" si="321"/>
        <v>0</v>
      </c>
      <c r="V763" s="306">
        <f t="shared" ca="1" si="322"/>
        <v>1.2258286247536299</v>
      </c>
      <c r="W763" s="304">
        <f t="shared" ca="1" si="323"/>
        <v>58.438626483278931</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2.9173924112194785</v>
      </c>
      <c r="AH763" s="304">
        <f t="shared" ca="1" si="347"/>
        <v>-6.8348864931732161</v>
      </c>
    </row>
    <row r="764" spans="1:34" x14ac:dyDescent="0.3">
      <c r="A764" s="347">
        <f t="shared" ca="1" si="325"/>
        <v>1E-4</v>
      </c>
      <c r="B764" s="304">
        <f t="shared" ca="1" si="326"/>
        <v>33.124900000001027</v>
      </c>
      <c r="D764" s="306">
        <f t="shared" ca="1" si="327"/>
        <v>-0.74035236697447759</v>
      </c>
      <c r="E764" s="307">
        <f t="shared" ca="1" si="328"/>
        <v>-3.0152883445624346</v>
      </c>
      <c r="F764" s="304">
        <f t="shared" ca="1" si="329"/>
        <v>3.1048486964969451</v>
      </c>
      <c r="G764" s="306">
        <f t="shared" ca="1" si="330"/>
        <v>13.434885854088197</v>
      </c>
      <c r="H764" s="307">
        <f t="shared" ca="1" si="331"/>
        <v>-123.30196519931609</v>
      </c>
      <c r="I764" s="304">
        <f t="shared" ca="1" si="332"/>
        <v>124.03173295542449</v>
      </c>
      <c r="J764" s="306">
        <f t="shared" ca="1" si="333"/>
        <v>764.67878961306644</v>
      </c>
      <c r="K764" s="307">
        <f t="shared" ca="1" si="334"/>
        <v>-6.7743268813390953</v>
      </c>
      <c r="L764" s="304">
        <f t="shared" ca="1" si="319"/>
        <v>764.70879607128859</v>
      </c>
      <c r="M764" s="306">
        <f t="shared" ca="1" si="335"/>
        <v>-1.462265253904292</v>
      </c>
      <c r="N764" s="304">
        <f t="shared" ca="1" si="336"/>
        <v>-83.781627577341652</v>
      </c>
      <c r="P764" s="310">
        <f t="shared" ca="1" si="337"/>
        <v>23</v>
      </c>
      <c r="Q764" s="304">
        <f t="shared" ca="1" si="338"/>
        <v>0</v>
      </c>
      <c r="R764" s="306">
        <f t="shared" ca="1" si="339"/>
        <v>0</v>
      </c>
      <c r="S764" s="307">
        <f t="shared" ca="1" si="340"/>
        <v>8.5499999999999989</v>
      </c>
      <c r="T764" s="304">
        <f t="shared" ca="1" si="320"/>
        <v>83.875499999999988</v>
      </c>
      <c r="U764" s="311">
        <f t="shared" ca="1" si="321"/>
        <v>0</v>
      </c>
      <c r="V764" s="306">
        <f t="shared" ca="1" si="322"/>
        <v>1.2258301362236708</v>
      </c>
      <c r="W764" s="304">
        <f t="shared" ca="1" si="323"/>
        <v>58.438973447778295</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2.9173527407003839</v>
      </c>
      <c r="AH764" s="304">
        <f t="shared" ca="1" si="347"/>
        <v>-6.8349270740677124</v>
      </c>
    </row>
    <row r="765" spans="1:34" x14ac:dyDescent="0.3">
      <c r="A765" s="347">
        <f t="shared" ca="1" si="325"/>
        <v>1E-4</v>
      </c>
      <c r="B765" s="304">
        <f t="shared" ca="1" si="326"/>
        <v>33.12500000000103</v>
      </c>
      <c r="D765" s="306">
        <f t="shared" ca="1" si="327"/>
        <v>-0.7403509414032583</v>
      </c>
      <c r="E765" s="307">
        <f t="shared" ca="1" si="328"/>
        <v>-3.0152473684093763</v>
      </c>
      <c r="F765" s="304">
        <f t="shared" ca="1" si="329"/>
        <v>3.1048085623974244</v>
      </c>
      <c r="G765" s="306">
        <f t="shared" ca="1" si="330"/>
        <v>13.434811818994056</v>
      </c>
      <c r="H765" s="307">
        <f t="shared" ca="1" si="331"/>
        <v>-123.30226672405293</v>
      </c>
      <c r="I765" s="304">
        <f t="shared" ca="1" si="332"/>
        <v>124.03202468677705</v>
      </c>
      <c r="J765" s="306">
        <f t="shared" ca="1" si="333"/>
        <v>764.67878961306644</v>
      </c>
      <c r="K765" s="307">
        <f t="shared" ca="1" si="334"/>
        <v>-6.7866570929352639</v>
      </c>
      <c r="L765" s="304">
        <f t="shared" ca="1" si="319"/>
        <v>764.70890540034998</v>
      </c>
      <c r="M765" s="306">
        <f t="shared" ca="1" si="335"/>
        <v>-1.4622661106192378</v>
      </c>
      <c r="N765" s="304">
        <f t="shared" ca="1" si="336"/>
        <v>-83.781676663492291</v>
      </c>
      <c r="P765" s="310">
        <f t="shared" ca="1" si="337"/>
        <v>23</v>
      </c>
      <c r="Q765" s="304">
        <f t="shared" ca="1" si="338"/>
        <v>0</v>
      </c>
      <c r="R765" s="306">
        <f t="shared" ca="1" si="339"/>
        <v>0</v>
      </c>
      <c r="S765" s="307">
        <f t="shared" ca="1" si="340"/>
        <v>8.5499999999999989</v>
      </c>
      <c r="T765" s="304">
        <f t="shared" ca="1" si="320"/>
        <v>83.875499999999988</v>
      </c>
      <c r="U765" s="311">
        <f t="shared" ca="1" si="321"/>
        <v>0</v>
      </c>
      <c r="V765" s="306">
        <f t="shared" ca="1" si="322"/>
        <v>1.2258316476992726</v>
      </c>
      <c r="W765" s="304">
        <f t="shared" ca="1" si="323"/>
        <v>58.439320410129071</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2.917313070416129</v>
      </c>
      <c r="AH765" s="304">
        <f t="shared" ca="1" si="347"/>
        <v>-6.8349676547109128</v>
      </c>
    </row>
    <row r="766" spans="1:34" x14ac:dyDescent="0.3">
      <c r="A766" s="347">
        <f t="shared" ca="1" si="325"/>
        <v>1E-4</v>
      </c>
      <c r="B766" s="304">
        <f t="shared" ca="1" si="326"/>
        <v>33.125100000001034</v>
      </c>
      <c r="D766" s="306">
        <f t="shared" ca="1" si="327"/>
        <v>-0.74034951579461505</v>
      </c>
      <c r="E766" s="307">
        <f t="shared" ca="1" si="328"/>
        <v>-3.0152063925100725</v>
      </c>
      <c r="F766" s="304">
        <f t="shared" ca="1" si="329"/>
        <v>3.1047684285580668</v>
      </c>
      <c r="G766" s="306">
        <f t="shared" ca="1" si="330"/>
        <v>13.434737784042477</v>
      </c>
      <c r="H766" s="307">
        <f t="shared" ca="1" si="331"/>
        <v>-123.30256824469218</v>
      </c>
      <c r="I766" s="304">
        <f t="shared" ca="1" si="332"/>
        <v>124.03231641416261</v>
      </c>
      <c r="J766" s="306">
        <f t="shared" ca="1" si="333"/>
        <v>764.67878961306644</v>
      </c>
      <c r="K766" s="307">
        <f t="shared" ca="1" si="334"/>
        <v>-6.7989873346837015</v>
      </c>
      <c r="L766" s="304">
        <f t="shared" ca="1" si="319"/>
        <v>764.7090149284769</v>
      </c>
      <c r="M766" s="306">
        <f t="shared" ca="1" si="335"/>
        <v>-1.4622669673254327</v>
      </c>
      <c r="N766" s="304">
        <f t="shared" ca="1" si="336"/>
        <v>-83.781725749141543</v>
      </c>
      <c r="P766" s="310">
        <f t="shared" ca="1" si="337"/>
        <v>23</v>
      </c>
      <c r="Q766" s="304">
        <f t="shared" ca="1" si="338"/>
        <v>0</v>
      </c>
      <c r="R766" s="306">
        <f t="shared" ca="1" si="339"/>
        <v>0</v>
      </c>
      <c r="S766" s="307">
        <f t="shared" ca="1" si="340"/>
        <v>8.5499999999999989</v>
      </c>
      <c r="T766" s="304">
        <f t="shared" ca="1" si="320"/>
        <v>83.875499999999988</v>
      </c>
      <c r="U766" s="311">
        <f t="shared" ca="1" si="321"/>
        <v>0</v>
      </c>
      <c r="V766" s="306">
        <f t="shared" ca="1" si="322"/>
        <v>1.2258331591804348</v>
      </c>
      <c r="W766" s="304">
        <f t="shared" ca="1" si="323"/>
        <v>58.439667370331243</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2.9172734003667111</v>
      </c>
      <c r="AH766" s="304">
        <f t="shared" ca="1" si="347"/>
        <v>-6.8350082351028165</v>
      </c>
    </row>
    <row r="767" spans="1:34" x14ac:dyDescent="0.3">
      <c r="A767" s="347">
        <f t="shared" ca="1" si="325"/>
        <v>1E-4</v>
      </c>
      <c r="B767" s="304">
        <f t="shared" ca="1" si="326"/>
        <v>33.125200000001037</v>
      </c>
      <c r="D767" s="306">
        <f t="shared" ca="1" si="327"/>
        <v>-0.74034809014854741</v>
      </c>
      <c r="E767" s="307">
        <f t="shared" ca="1" si="328"/>
        <v>-3.0151654168645221</v>
      </c>
      <c r="F767" s="304">
        <f t="shared" ca="1" si="329"/>
        <v>3.1047282949788713</v>
      </c>
      <c r="G767" s="306">
        <f t="shared" ca="1" si="330"/>
        <v>13.434663749233463</v>
      </c>
      <c r="H767" s="307">
        <f t="shared" ca="1" si="331"/>
        <v>-123.30286976123386</v>
      </c>
      <c r="I767" s="304">
        <f t="shared" ca="1" si="332"/>
        <v>124.03260813758118</v>
      </c>
      <c r="J767" s="306">
        <f t="shared" ca="1" si="333"/>
        <v>764.67878961306644</v>
      </c>
      <c r="K767" s="307">
        <f t="shared" ca="1" si="334"/>
        <v>-6.811317606583998</v>
      </c>
      <c r="L767" s="304">
        <f t="shared" ca="1" si="319"/>
        <v>764.70912465567073</v>
      </c>
      <c r="M767" s="306">
        <f t="shared" ca="1" si="335"/>
        <v>-1.4622678240228766</v>
      </c>
      <c r="N767" s="304">
        <f t="shared" ca="1" si="336"/>
        <v>-83.781774834289394</v>
      </c>
      <c r="P767" s="310">
        <f t="shared" ca="1" si="337"/>
        <v>23</v>
      </c>
      <c r="Q767" s="304">
        <f t="shared" ca="1" si="338"/>
        <v>0</v>
      </c>
      <c r="R767" s="306">
        <f t="shared" ca="1" si="339"/>
        <v>0</v>
      </c>
      <c r="S767" s="307">
        <f t="shared" ca="1" si="340"/>
        <v>8.5499999999999989</v>
      </c>
      <c r="T767" s="304">
        <f t="shared" ca="1" si="320"/>
        <v>83.875499999999988</v>
      </c>
      <c r="U767" s="311">
        <f t="shared" ca="1" si="321"/>
        <v>0</v>
      </c>
      <c r="V767" s="306">
        <f t="shared" ca="1" si="322"/>
        <v>1.2258346706671572</v>
      </c>
      <c r="W767" s="304">
        <f t="shared" ca="1" si="323"/>
        <v>58.44001432838477</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2.9172337305521401</v>
      </c>
      <c r="AH767" s="304">
        <f t="shared" ca="1" si="347"/>
        <v>-6.8350488152434208</v>
      </c>
    </row>
    <row r="768" spans="1:34" x14ac:dyDescent="0.3">
      <c r="A768" s="347">
        <f t="shared" ca="1" si="325"/>
        <v>1E-4</v>
      </c>
      <c r="B768" s="304">
        <f t="shared" ca="1" si="326"/>
        <v>33.12530000000104</v>
      </c>
      <c r="D768" s="306">
        <f t="shared" ca="1" si="327"/>
        <v>-0.74034666446505704</v>
      </c>
      <c r="E768" s="307">
        <f t="shared" ca="1" si="328"/>
        <v>-3.0151244414727314</v>
      </c>
      <c r="F768" s="304">
        <f t="shared" ca="1" si="329"/>
        <v>3.1046881616598445</v>
      </c>
      <c r="G768" s="306">
        <f t="shared" ca="1" si="330"/>
        <v>13.434589714567016</v>
      </c>
      <c r="H768" s="307">
        <f t="shared" ca="1" si="331"/>
        <v>-123.30317127367802</v>
      </c>
      <c r="I768" s="304">
        <f t="shared" ca="1" si="332"/>
        <v>124.03289985703279</v>
      </c>
      <c r="J768" s="306">
        <f t="shared" ca="1" si="333"/>
        <v>764.67878961306644</v>
      </c>
      <c r="K768" s="307">
        <f t="shared" ca="1" si="334"/>
        <v>-6.8236479086357438</v>
      </c>
      <c r="L768" s="304">
        <f t="shared" ca="1" si="319"/>
        <v>764.70923458193272</v>
      </c>
      <c r="M768" s="306">
        <f t="shared" ca="1" si="335"/>
        <v>-1.4622686807115697</v>
      </c>
      <c r="N768" s="304">
        <f t="shared" ca="1" si="336"/>
        <v>-83.781823918935871</v>
      </c>
      <c r="P768" s="310">
        <f t="shared" ca="1" si="337"/>
        <v>23</v>
      </c>
      <c r="Q768" s="304">
        <f t="shared" ca="1" si="338"/>
        <v>0</v>
      </c>
      <c r="R768" s="306">
        <f t="shared" ca="1" si="339"/>
        <v>0</v>
      </c>
      <c r="S768" s="307">
        <f t="shared" ca="1" si="340"/>
        <v>8.5499999999999989</v>
      </c>
      <c r="T768" s="304">
        <f t="shared" ca="1" si="320"/>
        <v>83.875499999999988</v>
      </c>
      <c r="U768" s="311">
        <f t="shared" ca="1" si="321"/>
        <v>0</v>
      </c>
      <c r="V768" s="306">
        <f t="shared" ca="1" si="322"/>
        <v>1.2258361821594403</v>
      </c>
      <c r="W768" s="304">
        <f t="shared" ca="1" si="323"/>
        <v>58.440361284289665</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2.9171940609724141</v>
      </c>
      <c r="AH768" s="304">
        <f t="shared" ca="1" si="347"/>
        <v>-6.8350893951327221</v>
      </c>
    </row>
    <row r="769" spans="1:34" x14ac:dyDescent="0.3">
      <c r="A769" s="347">
        <f t="shared" ca="1" si="325"/>
        <v>1E-4</v>
      </c>
      <c r="B769" s="304">
        <f t="shared" ca="1" si="326"/>
        <v>33.125400000001044</v>
      </c>
      <c r="D769" s="306">
        <f t="shared" ca="1" si="327"/>
        <v>-0.74034523874414415</v>
      </c>
      <c r="E769" s="307">
        <f t="shared" ca="1" si="328"/>
        <v>-3.0150834663346986</v>
      </c>
      <c r="F769" s="304">
        <f t="shared" ca="1" si="329"/>
        <v>3.1046480286009852</v>
      </c>
      <c r="G769" s="306">
        <f t="shared" ca="1" si="330"/>
        <v>13.434515680043141</v>
      </c>
      <c r="H769" s="307">
        <f t="shared" ca="1" si="331"/>
        <v>-123.30347278202466</v>
      </c>
      <c r="I769" s="304">
        <f t="shared" ca="1" si="332"/>
        <v>124.03319157251748</v>
      </c>
      <c r="J769" s="306">
        <f t="shared" ca="1" si="333"/>
        <v>764.67878961306644</v>
      </c>
      <c r="K769" s="307">
        <f t="shared" ca="1" si="334"/>
        <v>-6.8359782408385286</v>
      </c>
      <c r="L769" s="304">
        <f t="shared" ca="1" si="319"/>
        <v>764.70934470726422</v>
      </c>
      <c r="M769" s="306">
        <f t="shared" ca="1" si="335"/>
        <v>-1.462269537391512</v>
      </c>
      <c r="N769" s="304">
        <f t="shared" ca="1" si="336"/>
        <v>-83.78187300308096</v>
      </c>
      <c r="P769" s="310">
        <f t="shared" ca="1" si="337"/>
        <v>23</v>
      </c>
      <c r="Q769" s="304">
        <f t="shared" ca="1" si="338"/>
        <v>0</v>
      </c>
      <c r="R769" s="306">
        <f t="shared" ca="1" si="339"/>
        <v>0</v>
      </c>
      <c r="S769" s="307">
        <f t="shared" ca="1" si="340"/>
        <v>8.5499999999999989</v>
      </c>
      <c r="T769" s="304">
        <f t="shared" ca="1" si="320"/>
        <v>83.875499999999988</v>
      </c>
      <c r="U769" s="311">
        <f t="shared" ca="1" si="321"/>
        <v>0</v>
      </c>
      <c r="V769" s="306">
        <f t="shared" ca="1" si="322"/>
        <v>1.2258376936572835</v>
      </c>
      <c r="W769" s="304">
        <f t="shared" ca="1" si="323"/>
        <v>58.4407082380459</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2.9171543916275331</v>
      </c>
      <c r="AH769" s="304">
        <f t="shared" ca="1" si="347"/>
        <v>-6.8351299747707221</v>
      </c>
    </row>
    <row r="770" spans="1:34" x14ac:dyDescent="0.3">
      <c r="A770" s="347">
        <f t="shared" ca="1" si="325"/>
        <v>1E-4</v>
      </c>
      <c r="B770" s="304">
        <f t="shared" ca="1" si="326"/>
        <v>33.125500000001047</v>
      </c>
      <c r="D770" s="306">
        <f t="shared" ca="1" si="327"/>
        <v>-0.74034381298580987</v>
      </c>
      <c r="E770" s="307">
        <f t="shared" ca="1" si="328"/>
        <v>-3.0150424914504272</v>
      </c>
      <c r="F770" s="304">
        <f t="shared" ca="1" si="329"/>
        <v>3.1046078958022969</v>
      </c>
      <c r="G770" s="306">
        <f t="shared" ca="1" si="330"/>
        <v>13.434441645661842</v>
      </c>
      <c r="H770" s="307">
        <f t="shared" ca="1" si="331"/>
        <v>-123.30377428627381</v>
      </c>
      <c r="I770" s="304">
        <f t="shared" ca="1" si="332"/>
        <v>124.03348328403524</v>
      </c>
      <c r="J770" s="306">
        <f t="shared" ca="1" si="333"/>
        <v>764.67878961306644</v>
      </c>
      <c r="K770" s="307">
        <f t="shared" ca="1" si="334"/>
        <v>-6.8483086031919438</v>
      </c>
      <c r="L770" s="304">
        <f t="shared" ca="1" si="319"/>
        <v>764.70945503166683</v>
      </c>
      <c r="M770" s="306">
        <f t="shared" ca="1" si="335"/>
        <v>-1.4622703940627038</v>
      </c>
      <c r="N770" s="304">
        <f t="shared" ca="1" si="336"/>
        <v>-83.781922086724677</v>
      </c>
      <c r="P770" s="310">
        <f t="shared" ca="1" si="337"/>
        <v>23</v>
      </c>
      <c r="Q770" s="304">
        <f t="shared" ca="1" si="338"/>
        <v>0</v>
      </c>
      <c r="R770" s="306">
        <f t="shared" ca="1" si="339"/>
        <v>0</v>
      </c>
      <c r="S770" s="307">
        <f t="shared" ca="1" si="340"/>
        <v>8.5499999999999989</v>
      </c>
      <c r="T770" s="304">
        <f t="shared" ca="1" si="320"/>
        <v>83.875499999999988</v>
      </c>
      <c r="U770" s="311">
        <f t="shared" ca="1" si="321"/>
        <v>0</v>
      </c>
      <c r="V770" s="306">
        <f t="shared" ca="1" si="322"/>
        <v>1.2258392051606872</v>
      </c>
      <c r="W770" s="304">
        <f t="shared" ca="1" si="323"/>
        <v>58.441055189653476</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2.9171147225175043</v>
      </c>
      <c r="AH770" s="304">
        <f t="shared" ca="1" si="347"/>
        <v>-6.8351705541574157</v>
      </c>
    </row>
    <row r="771" spans="1:34" x14ac:dyDescent="0.3">
      <c r="A771" s="347">
        <f t="shared" ca="1" si="325"/>
        <v>1E-4</v>
      </c>
      <c r="B771" s="304">
        <f t="shared" ca="1" si="326"/>
        <v>33.12560000000105</v>
      </c>
      <c r="D771" s="306">
        <f t="shared" ca="1" si="327"/>
        <v>-0.74034238719005474</v>
      </c>
      <c r="E771" s="307">
        <f t="shared" ca="1" si="328"/>
        <v>-3.0150015168199165</v>
      </c>
      <c r="F771" s="304">
        <f t="shared" ca="1" si="329"/>
        <v>3.1045677632637791</v>
      </c>
      <c r="G771" s="306">
        <f t="shared" ca="1" si="330"/>
        <v>13.434367611423124</v>
      </c>
      <c r="H771" s="307">
        <f t="shared" ca="1" si="331"/>
        <v>-123.30407578642549</v>
      </c>
      <c r="I771" s="304">
        <f t="shared" ca="1" si="332"/>
        <v>124.03377499158613</v>
      </c>
      <c r="J771" s="306">
        <f t="shared" ca="1" si="333"/>
        <v>764.67878961306644</v>
      </c>
      <c r="K771" s="307">
        <f t="shared" ca="1" si="334"/>
        <v>-6.8606389956955791</v>
      </c>
      <c r="L771" s="304">
        <f t="shared" ca="1" si="319"/>
        <v>764.70956555514181</v>
      </c>
      <c r="M771" s="306">
        <f t="shared" ca="1" si="335"/>
        <v>-1.4622712507251452</v>
      </c>
      <c r="N771" s="304">
        <f t="shared" ca="1" si="336"/>
        <v>-83.781971169867035</v>
      </c>
      <c r="P771" s="310">
        <f t="shared" ca="1" si="337"/>
        <v>23</v>
      </c>
      <c r="Q771" s="304">
        <f t="shared" ca="1" si="338"/>
        <v>0</v>
      </c>
      <c r="R771" s="306">
        <f t="shared" ca="1" si="339"/>
        <v>0</v>
      </c>
      <c r="S771" s="307">
        <f t="shared" ca="1" si="340"/>
        <v>8.5499999999999989</v>
      </c>
      <c r="T771" s="304">
        <f t="shared" ca="1" si="320"/>
        <v>83.875499999999988</v>
      </c>
      <c r="U771" s="311">
        <f t="shared" ca="1" si="321"/>
        <v>0</v>
      </c>
      <c r="V771" s="306">
        <f t="shared" ca="1" si="322"/>
        <v>1.225840716669651</v>
      </c>
      <c r="W771" s="304">
        <f t="shared" ca="1" si="323"/>
        <v>58.441402139112363</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2.9170750536423213</v>
      </c>
      <c r="AH771" s="304">
        <f t="shared" ca="1" si="347"/>
        <v>-6.8352111332928054</v>
      </c>
    </row>
    <row r="772" spans="1:34" x14ac:dyDescent="0.3">
      <c r="A772" s="347">
        <f t="shared" ca="1" si="325"/>
        <v>1E-4</v>
      </c>
      <c r="B772" s="304">
        <f t="shared" ca="1" si="326"/>
        <v>33.125700000001054</v>
      </c>
      <c r="D772" s="306">
        <f t="shared" ca="1" si="327"/>
        <v>-0.74034096135687821</v>
      </c>
      <c r="E772" s="307">
        <f t="shared" ca="1" si="328"/>
        <v>-3.0149605424431716</v>
      </c>
      <c r="F772" s="304">
        <f t="shared" ca="1" si="329"/>
        <v>3.1045276309854373</v>
      </c>
      <c r="G772" s="306">
        <f t="shared" ca="1" si="330"/>
        <v>13.434293577326988</v>
      </c>
      <c r="H772" s="307">
        <f t="shared" ca="1" si="331"/>
        <v>-123.30437728247973</v>
      </c>
      <c r="I772" s="304">
        <f t="shared" ca="1" si="332"/>
        <v>124.03406669517014</v>
      </c>
      <c r="J772" s="306">
        <f t="shared" ca="1" si="333"/>
        <v>764.67878961306644</v>
      </c>
      <c r="K772" s="307">
        <f t="shared" ca="1" si="334"/>
        <v>-6.8729694183490242</v>
      </c>
      <c r="L772" s="304">
        <f t="shared" ref="L772:L835" ca="1" si="348">SQRT(pos_x^2+pos_z^2)</f>
        <v>764.70967627769028</v>
      </c>
      <c r="M772" s="306">
        <f t="shared" ca="1" si="335"/>
        <v>-1.4622721073788363</v>
      </c>
      <c r="N772" s="304">
        <f t="shared" ca="1" si="336"/>
        <v>-83.782020252508048</v>
      </c>
      <c r="P772" s="310">
        <f t="shared" ca="1" si="337"/>
        <v>23</v>
      </c>
      <c r="Q772" s="304">
        <f t="shared" ca="1" si="338"/>
        <v>0</v>
      </c>
      <c r="R772" s="306">
        <f t="shared" ca="1" si="339"/>
        <v>0</v>
      </c>
      <c r="S772" s="307">
        <f t="shared" ca="1" si="340"/>
        <v>8.5499999999999989</v>
      </c>
      <c r="T772" s="304">
        <f t="shared" ref="T772:T835" ca="1" si="349">m*g</f>
        <v>83.875499999999988</v>
      </c>
      <c r="U772" s="311">
        <f t="shared" ref="U772:U835" ca="1" si="350">IF(pos_xz&lt;L_rampe,Poids*COS(Beta),0)</f>
        <v>0</v>
      </c>
      <c r="V772" s="306">
        <f t="shared" ref="V772:V835" ca="1" si="351">Rho_moyen*(20000-Alt_rampe-pos_z)/(20000+Alt_rampe+pos_z)</f>
        <v>1.2258422281841757</v>
      </c>
      <c r="W772" s="304">
        <f t="shared" ref="W772:W835" ca="1" si="352">1/2*Rho*Sref*Cx*vit_xz^2</f>
        <v>58.441749086422561</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2.9170353850019959</v>
      </c>
      <c r="AH772" s="304">
        <f t="shared" ca="1" si="347"/>
        <v>-6.835251712176885</v>
      </c>
    </row>
    <row r="773" spans="1:34" x14ac:dyDescent="0.3">
      <c r="A773" s="347">
        <f t="shared" ref="A773:A836" ca="1" si="354">IF(B772+0.01&lt;=T_ini+ROUNDUP(Temps_fin_propu,0), 0.01, IF(K772&gt;0, 0.1, 0.0001))</f>
        <v>1E-4</v>
      </c>
      <c r="B773" s="304">
        <f t="shared" ref="B773:B836" ca="1" si="355">B772+pas</f>
        <v>33.125800000001057</v>
      </c>
      <c r="D773" s="306">
        <f t="shared" ref="D773:D836" ca="1" si="356">IF(AND(L772&lt;L_rampe,Poussee&lt;Poids*SIN(M772)),0,(-W772+Poussee)/m*COS(M772)-U772/m*SIN(M772))</f>
        <v>-0.74033953548628251</v>
      </c>
      <c r="E773" s="307">
        <f t="shared" ref="E773:E836" ca="1" si="357">IF(AND(L772&lt;L_rampe,Poussee&lt;Poids*SIN(M772)),0,(-W772+Poussee)/m*SIN(M772)+U772/m*COS(M772)-Poids/m)</f>
        <v>-3.0149195683201899</v>
      </c>
      <c r="F773" s="304">
        <f t="shared" ref="F773:F836" ca="1" si="358">SQRT(acc_x^2+acc_z^2)</f>
        <v>3.1044874989672686</v>
      </c>
      <c r="G773" s="306">
        <f t="shared" ref="G773:G836" ca="1" si="359">G772+acc_x*pas</f>
        <v>13.434219543373439</v>
      </c>
      <c r="H773" s="307">
        <f t="shared" ref="H773:H836" ca="1" si="360">H772+acc_z*pas</f>
        <v>-123.30467877443657</v>
      </c>
      <c r="I773" s="304">
        <f t="shared" ref="I773:I836" ca="1" si="361">SQRT(vit_x^2+vit_z^2)</f>
        <v>124.0343583947873</v>
      </c>
      <c r="J773" s="306">
        <f t="shared" ref="J773:J836" ca="1" si="362">J772+0.5*(vit_x+G772)*pas*(K772&gt;=0)</f>
        <v>764.67878961306644</v>
      </c>
      <c r="K773" s="307">
        <f t="shared" ref="K773:K836" ca="1" si="363">K772+0.5*(vit_z+H772)*pas</f>
        <v>-6.8852998711518696</v>
      </c>
      <c r="L773" s="304">
        <f t="shared" ca="1" si="348"/>
        <v>764.70978719931395</v>
      </c>
      <c r="M773" s="306">
        <f t="shared" ref="M773:M836" ca="1" si="364">IF(AND(L772&gt;L_rampe,G773&gt;0),ATAN2(G773,H773),$M$4)</f>
        <v>-1.4622729640237773</v>
      </c>
      <c r="N773" s="304">
        <f t="shared" ref="N773:N836" ca="1" si="365">DEGREES(Beta)</f>
        <v>-83.782069334647701</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8.5499999999999989</v>
      </c>
      <c r="T773" s="304">
        <f t="shared" ca="1" si="349"/>
        <v>83.875499999999988</v>
      </c>
      <c r="U773" s="311">
        <f t="shared" ca="1" si="350"/>
        <v>0</v>
      </c>
      <c r="V773" s="306">
        <f t="shared" ca="1" si="351"/>
        <v>1.2258437397042601</v>
      </c>
      <c r="W773" s="304">
        <f t="shared" ca="1" si="352"/>
        <v>58.442096031584043</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2.9169957165965235</v>
      </c>
      <c r="AH773" s="304">
        <f t="shared" ref="AH773:AH836" ca="1" si="376">IF(AND(L772&lt;L_rampe,Poussee&lt;Poids*SIN(M772)), g*SIN(M772), (-W772+Poussee)/m)</f>
        <v>-6.8352922908096572</v>
      </c>
    </row>
    <row r="774" spans="1:34" x14ac:dyDescent="0.3">
      <c r="A774" s="347">
        <f t="shared" ca="1" si="354"/>
        <v>1E-4</v>
      </c>
      <c r="B774" s="304">
        <f t="shared" ca="1" si="355"/>
        <v>33.12590000000106</v>
      </c>
      <c r="D774" s="306">
        <f t="shared" ca="1" si="356"/>
        <v>-0.74033810957826707</v>
      </c>
      <c r="E774" s="307">
        <f t="shared" ca="1" si="357"/>
        <v>-3.0148785944509768</v>
      </c>
      <c r="F774" s="304">
        <f t="shared" ca="1" si="358"/>
        <v>3.1044473672092785</v>
      </c>
      <c r="G774" s="306">
        <f t="shared" ca="1" si="359"/>
        <v>13.434145509562482</v>
      </c>
      <c r="H774" s="307">
        <f t="shared" ca="1" si="360"/>
        <v>-123.30498026229601</v>
      </c>
      <c r="I774" s="304">
        <f t="shared" ca="1" si="361"/>
        <v>124.03465009043765</v>
      </c>
      <c r="J774" s="306">
        <f t="shared" ca="1" si="362"/>
        <v>764.67878961306644</v>
      </c>
      <c r="K774" s="307">
        <f t="shared" ca="1" si="363"/>
        <v>-6.8976303541037058</v>
      </c>
      <c r="L774" s="304">
        <f t="shared" ca="1" si="348"/>
        <v>764.70989832001408</v>
      </c>
      <c r="M774" s="306">
        <f t="shared" ca="1" si="364"/>
        <v>-1.4622738206599681</v>
      </c>
      <c r="N774" s="304">
        <f t="shared" ca="1" si="365"/>
        <v>-83.782118416286011</v>
      </c>
      <c r="P774" s="310">
        <f t="shared" ca="1" si="366"/>
        <v>23</v>
      </c>
      <c r="Q774" s="304">
        <f t="shared" ca="1" si="367"/>
        <v>0</v>
      </c>
      <c r="R774" s="306">
        <f t="shared" ca="1" si="368"/>
        <v>0</v>
      </c>
      <c r="S774" s="307">
        <f t="shared" ca="1" si="369"/>
        <v>8.5499999999999989</v>
      </c>
      <c r="T774" s="304">
        <f t="shared" ca="1" si="349"/>
        <v>83.875499999999988</v>
      </c>
      <c r="U774" s="311">
        <f t="shared" ca="1" si="350"/>
        <v>0</v>
      </c>
      <c r="V774" s="306">
        <f t="shared" ca="1" si="351"/>
        <v>1.2258452512299047</v>
      </c>
      <c r="W774" s="304">
        <f t="shared" ca="1" si="352"/>
        <v>58.442442974596801</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2.9169560484259112</v>
      </c>
      <c r="AH774" s="304">
        <f t="shared" ca="1" si="376"/>
        <v>-6.8353328691911166</v>
      </c>
    </row>
    <row r="775" spans="1:34" x14ac:dyDescent="0.3">
      <c r="A775" s="347">
        <f t="shared" ca="1" si="354"/>
        <v>1E-4</v>
      </c>
      <c r="B775" s="304">
        <f t="shared" ca="1" si="355"/>
        <v>33.126000000001063</v>
      </c>
      <c r="D775" s="306">
        <f t="shared" ca="1" si="356"/>
        <v>-0.74033668363283378</v>
      </c>
      <c r="E775" s="307">
        <f t="shared" ca="1" si="357"/>
        <v>-3.0148376208355323</v>
      </c>
      <c r="F775" s="304">
        <f t="shared" ca="1" si="358"/>
        <v>3.1044072357114674</v>
      </c>
      <c r="G775" s="306">
        <f t="shared" ca="1" si="359"/>
        <v>13.434071475894118</v>
      </c>
      <c r="H775" s="307">
        <f t="shared" ca="1" si="360"/>
        <v>-123.3052817460581</v>
      </c>
      <c r="I775" s="304">
        <f t="shared" ca="1" si="361"/>
        <v>124.03494178212122</v>
      </c>
      <c r="J775" s="306">
        <f t="shared" ca="1" si="362"/>
        <v>764.67878961306644</v>
      </c>
      <c r="K775" s="307">
        <f t="shared" ca="1" si="363"/>
        <v>-6.9099608672041235</v>
      </c>
      <c r="L775" s="304">
        <f t="shared" ca="1" si="348"/>
        <v>764.71000963979191</v>
      </c>
      <c r="M775" s="306">
        <f t="shared" ca="1" si="364"/>
        <v>-1.4622746772874091</v>
      </c>
      <c r="N775" s="304">
        <f t="shared" ca="1" si="365"/>
        <v>-83.782167497423004</v>
      </c>
      <c r="P775" s="310">
        <f t="shared" ca="1" si="366"/>
        <v>23</v>
      </c>
      <c r="Q775" s="304">
        <f t="shared" ca="1" si="367"/>
        <v>0</v>
      </c>
      <c r="R775" s="306">
        <f t="shared" ca="1" si="368"/>
        <v>0</v>
      </c>
      <c r="S775" s="307">
        <f t="shared" ca="1" si="369"/>
        <v>8.5499999999999989</v>
      </c>
      <c r="T775" s="304">
        <f t="shared" ca="1" si="349"/>
        <v>83.875499999999988</v>
      </c>
      <c r="U775" s="311">
        <f t="shared" ca="1" si="350"/>
        <v>0</v>
      </c>
      <c r="V775" s="306">
        <f t="shared" ca="1" si="351"/>
        <v>1.2258467627611098</v>
      </c>
      <c r="W775" s="304">
        <f t="shared" ca="1" si="352"/>
        <v>58.44278991546085</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2.9169163804901546</v>
      </c>
      <c r="AH775" s="304">
        <f t="shared" ca="1" si="376"/>
        <v>-6.8353734473212642</v>
      </c>
    </row>
    <row r="776" spans="1:34" x14ac:dyDescent="0.3">
      <c r="A776" s="347">
        <f t="shared" ca="1" si="354"/>
        <v>1E-4</v>
      </c>
      <c r="B776" s="304">
        <f t="shared" ca="1" si="355"/>
        <v>33.126100000001067</v>
      </c>
      <c r="D776" s="306">
        <f t="shared" ca="1" si="356"/>
        <v>-0.74033525764998265</v>
      </c>
      <c r="E776" s="307">
        <f t="shared" ca="1" si="357"/>
        <v>-3.0147966474738555</v>
      </c>
      <c r="F776" s="304">
        <f t="shared" ca="1" si="358"/>
        <v>3.1043671044738352</v>
      </c>
      <c r="G776" s="306">
        <f t="shared" ca="1" si="359"/>
        <v>13.433997442368353</v>
      </c>
      <c r="H776" s="307">
        <f t="shared" ca="1" si="360"/>
        <v>-123.30558322572284</v>
      </c>
      <c r="I776" s="304">
        <f t="shared" ca="1" si="361"/>
        <v>124.035233469838</v>
      </c>
      <c r="J776" s="306">
        <f t="shared" ca="1" si="362"/>
        <v>764.67878961306644</v>
      </c>
      <c r="K776" s="307">
        <f t="shared" ca="1" si="363"/>
        <v>-6.9222914104527122</v>
      </c>
      <c r="L776" s="304">
        <f t="shared" ca="1" si="348"/>
        <v>764.71012115864903</v>
      </c>
      <c r="M776" s="306">
        <f t="shared" ca="1" si="364"/>
        <v>-1.4622755339061004</v>
      </c>
      <c r="N776" s="304">
        <f t="shared" ca="1" si="365"/>
        <v>-83.782216578058666</v>
      </c>
      <c r="P776" s="310">
        <f t="shared" ca="1" si="366"/>
        <v>23</v>
      </c>
      <c r="Q776" s="304">
        <f t="shared" ca="1" si="367"/>
        <v>0</v>
      </c>
      <c r="R776" s="306">
        <f t="shared" ca="1" si="368"/>
        <v>0</v>
      </c>
      <c r="S776" s="307">
        <f t="shared" ca="1" si="369"/>
        <v>8.5499999999999989</v>
      </c>
      <c r="T776" s="304">
        <f t="shared" ca="1" si="349"/>
        <v>83.875499999999988</v>
      </c>
      <c r="U776" s="311">
        <f t="shared" ca="1" si="350"/>
        <v>0</v>
      </c>
      <c r="V776" s="306">
        <f t="shared" ca="1" si="351"/>
        <v>1.2258482742978749</v>
      </c>
      <c r="W776" s="304">
        <f t="shared" ca="1" si="352"/>
        <v>58.443136854176124</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2.9168767127892572</v>
      </c>
      <c r="AH776" s="304">
        <f t="shared" ca="1" si="376"/>
        <v>-6.8354140252000999</v>
      </c>
    </row>
    <row r="777" spans="1:34" x14ac:dyDescent="0.3">
      <c r="A777" s="347">
        <f t="shared" ca="1" si="354"/>
        <v>1E-4</v>
      </c>
      <c r="B777" s="304">
        <f t="shared" ca="1" si="355"/>
        <v>33.12620000000107</v>
      </c>
      <c r="D777" s="306">
        <f t="shared" ca="1" si="356"/>
        <v>-0.74033383162971345</v>
      </c>
      <c r="E777" s="307">
        <f t="shared" ca="1" si="357"/>
        <v>-3.0147556743659525</v>
      </c>
      <c r="F777" s="304">
        <f t="shared" ca="1" si="358"/>
        <v>3.1043269734963874</v>
      </c>
      <c r="G777" s="306">
        <f t="shared" ca="1" si="359"/>
        <v>13.433923408985191</v>
      </c>
      <c r="H777" s="307">
        <f t="shared" ca="1" si="360"/>
        <v>-123.30588470129028</v>
      </c>
      <c r="I777" s="304">
        <f t="shared" ca="1" si="361"/>
        <v>124.03552515358804</v>
      </c>
      <c r="J777" s="306">
        <f t="shared" ca="1" si="362"/>
        <v>764.67878961306644</v>
      </c>
      <c r="K777" s="307">
        <f t="shared" ca="1" si="363"/>
        <v>-6.9346219838490626</v>
      </c>
      <c r="L777" s="304">
        <f t="shared" ca="1" si="348"/>
        <v>764.71023287658659</v>
      </c>
      <c r="M777" s="306">
        <f t="shared" ca="1" si="364"/>
        <v>-1.4622763905160423</v>
      </c>
      <c r="N777" s="304">
        <f t="shared" ca="1" si="365"/>
        <v>-83.782265658193026</v>
      </c>
      <c r="P777" s="310">
        <f t="shared" ca="1" si="366"/>
        <v>23</v>
      </c>
      <c r="Q777" s="304">
        <f t="shared" ca="1" si="367"/>
        <v>0</v>
      </c>
      <c r="R777" s="306">
        <f t="shared" ca="1" si="368"/>
        <v>0</v>
      </c>
      <c r="S777" s="307">
        <f t="shared" ca="1" si="369"/>
        <v>8.5499999999999989</v>
      </c>
      <c r="T777" s="304">
        <f t="shared" ca="1" si="349"/>
        <v>83.875499999999988</v>
      </c>
      <c r="U777" s="311">
        <f t="shared" ca="1" si="350"/>
        <v>0</v>
      </c>
      <c r="V777" s="306">
        <f t="shared" ca="1" si="351"/>
        <v>1.2258497858401998</v>
      </c>
      <c r="W777" s="304">
        <f t="shared" ca="1" si="352"/>
        <v>58.443483790742611</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2.9168370453232253</v>
      </c>
      <c r="AH777" s="304">
        <f t="shared" ca="1" si="376"/>
        <v>-6.8354546028276175</v>
      </c>
    </row>
    <row r="778" spans="1:34" x14ac:dyDescent="0.3">
      <c r="A778" s="347">
        <f t="shared" ca="1" si="354"/>
        <v>1E-4</v>
      </c>
      <c r="B778" s="304">
        <f t="shared" ca="1" si="355"/>
        <v>33.126300000001073</v>
      </c>
      <c r="D778" s="306">
        <f t="shared" ca="1" si="356"/>
        <v>-0.74033240557202606</v>
      </c>
      <c r="E778" s="307">
        <f t="shared" ca="1" si="357"/>
        <v>-3.0147147015118252</v>
      </c>
      <c r="F778" s="304">
        <f t="shared" ca="1" si="358"/>
        <v>3.1042868427791261</v>
      </c>
      <c r="G778" s="306">
        <f t="shared" ca="1" si="359"/>
        <v>13.433849375744634</v>
      </c>
      <c r="H778" s="307">
        <f t="shared" ca="1" si="360"/>
        <v>-123.30618617276043</v>
      </c>
      <c r="I778" s="304">
        <f t="shared" ca="1" si="361"/>
        <v>124.03581683337136</v>
      </c>
      <c r="J778" s="306">
        <f t="shared" ca="1" si="362"/>
        <v>764.67878961306644</v>
      </c>
      <c r="K778" s="307">
        <f t="shared" ca="1" si="363"/>
        <v>-6.9469525873927651</v>
      </c>
      <c r="L778" s="304">
        <f t="shared" ca="1" si="348"/>
        <v>764.71034479360605</v>
      </c>
      <c r="M778" s="306">
        <f t="shared" ca="1" si="364"/>
        <v>-1.4622772471172345</v>
      </c>
      <c r="N778" s="304">
        <f t="shared" ca="1" si="365"/>
        <v>-83.782314737826056</v>
      </c>
      <c r="P778" s="310">
        <f t="shared" ca="1" si="366"/>
        <v>23</v>
      </c>
      <c r="Q778" s="304">
        <f t="shared" ca="1" si="367"/>
        <v>0</v>
      </c>
      <c r="R778" s="306">
        <f t="shared" ca="1" si="368"/>
        <v>0</v>
      </c>
      <c r="S778" s="307">
        <f t="shared" ca="1" si="369"/>
        <v>8.5499999999999989</v>
      </c>
      <c r="T778" s="304">
        <f t="shared" ca="1" si="349"/>
        <v>83.875499999999988</v>
      </c>
      <c r="U778" s="311">
        <f t="shared" ca="1" si="350"/>
        <v>0</v>
      </c>
      <c r="V778" s="306">
        <f t="shared" ca="1" si="351"/>
        <v>1.2258512973880853</v>
      </c>
      <c r="W778" s="304">
        <f t="shared" ca="1" si="352"/>
        <v>58.443830725160382</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2.9167973780920606</v>
      </c>
      <c r="AH778" s="304">
        <f t="shared" ca="1" si="376"/>
        <v>-6.8354951802038153</v>
      </c>
    </row>
    <row r="779" spans="1:34" x14ac:dyDescent="0.3">
      <c r="A779" s="347">
        <f t="shared" ca="1" si="354"/>
        <v>1E-4</v>
      </c>
      <c r="B779" s="304">
        <f t="shared" ca="1" si="355"/>
        <v>33.126400000001077</v>
      </c>
      <c r="D779" s="306">
        <f t="shared" ca="1" si="356"/>
        <v>-0.74033097947692461</v>
      </c>
      <c r="E779" s="307">
        <f t="shared" ca="1" si="357"/>
        <v>-3.0146737289114673</v>
      </c>
      <c r="F779" s="304">
        <f t="shared" ca="1" si="358"/>
        <v>3.1042467123220465</v>
      </c>
      <c r="G779" s="306">
        <f t="shared" ca="1" si="359"/>
        <v>13.433775342646687</v>
      </c>
      <c r="H779" s="307">
        <f t="shared" ca="1" si="360"/>
        <v>-123.30648764013333</v>
      </c>
      <c r="I779" s="304">
        <f t="shared" ca="1" si="361"/>
        <v>124.03610850918798</v>
      </c>
      <c r="J779" s="306">
        <f t="shared" ca="1" si="362"/>
        <v>764.67878961306644</v>
      </c>
      <c r="K779" s="307">
        <f t="shared" ca="1" si="363"/>
        <v>-6.9592832210834095</v>
      </c>
      <c r="L779" s="304">
        <f t="shared" ca="1" si="348"/>
        <v>764.7104569097088</v>
      </c>
      <c r="M779" s="306">
        <f t="shared" ca="1" si="364"/>
        <v>-1.4622781037096775</v>
      </c>
      <c r="N779" s="304">
        <f t="shared" ca="1" si="365"/>
        <v>-83.782363816957812</v>
      </c>
      <c r="P779" s="310">
        <f t="shared" ca="1" si="366"/>
        <v>23</v>
      </c>
      <c r="Q779" s="304">
        <f t="shared" ca="1" si="367"/>
        <v>0</v>
      </c>
      <c r="R779" s="306">
        <f t="shared" ca="1" si="368"/>
        <v>0</v>
      </c>
      <c r="S779" s="307">
        <f t="shared" ca="1" si="369"/>
        <v>8.5499999999999989</v>
      </c>
      <c r="T779" s="304">
        <f t="shared" ca="1" si="349"/>
        <v>83.875499999999988</v>
      </c>
      <c r="U779" s="311">
        <f t="shared" ca="1" si="350"/>
        <v>0</v>
      </c>
      <c r="V779" s="306">
        <f t="shared" ca="1" si="351"/>
        <v>1.2258528089415308</v>
      </c>
      <c r="W779" s="304">
        <f t="shared" ca="1" si="352"/>
        <v>58.444177657429343</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2.9167577110957561</v>
      </c>
      <c r="AH779" s="304">
        <f t="shared" ca="1" si="376"/>
        <v>-6.8355357573287003</v>
      </c>
    </row>
    <row r="780" spans="1:34" x14ac:dyDescent="0.3">
      <c r="A780" s="347">
        <f t="shared" ca="1" si="354"/>
        <v>1E-4</v>
      </c>
      <c r="B780" s="304">
        <f t="shared" ca="1" si="355"/>
        <v>33.12650000000108</v>
      </c>
      <c r="D780" s="306">
        <f t="shared" ca="1" si="356"/>
        <v>-0.74032955334440664</v>
      </c>
      <c r="E780" s="307">
        <f t="shared" ca="1" si="357"/>
        <v>-3.0146327565648878</v>
      </c>
      <c r="F780" s="304">
        <f t="shared" ca="1" si="358"/>
        <v>3.1042065821251561</v>
      </c>
      <c r="G780" s="306">
        <f t="shared" ca="1" si="359"/>
        <v>13.433701309691353</v>
      </c>
      <c r="H780" s="307">
        <f t="shared" ca="1" si="360"/>
        <v>-123.30678910340899</v>
      </c>
      <c r="I780" s="304">
        <f t="shared" ca="1" si="361"/>
        <v>124.03640018103792</v>
      </c>
      <c r="J780" s="306">
        <f t="shared" ca="1" si="362"/>
        <v>764.67878961306644</v>
      </c>
      <c r="K780" s="307">
        <f t="shared" ca="1" si="363"/>
        <v>-6.9716138849205862</v>
      </c>
      <c r="L780" s="304">
        <f t="shared" ca="1" si="348"/>
        <v>764.71056922489618</v>
      </c>
      <c r="M780" s="306">
        <f t="shared" ca="1" si="364"/>
        <v>-1.462278960293371</v>
      </c>
      <c r="N780" s="304">
        <f t="shared" ca="1" si="365"/>
        <v>-83.782412895588251</v>
      </c>
      <c r="P780" s="310">
        <f t="shared" ca="1" si="366"/>
        <v>23</v>
      </c>
      <c r="Q780" s="304">
        <f t="shared" ca="1" si="367"/>
        <v>0</v>
      </c>
      <c r="R780" s="306">
        <f t="shared" ca="1" si="368"/>
        <v>0</v>
      </c>
      <c r="S780" s="307">
        <f t="shared" ca="1" si="369"/>
        <v>8.5499999999999989</v>
      </c>
      <c r="T780" s="304">
        <f t="shared" ca="1" si="349"/>
        <v>83.875499999999988</v>
      </c>
      <c r="U780" s="311">
        <f t="shared" ca="1" si="350"/>
        <v>0</v>
      </c>
      <c r="V780" s="306">
        <f t="shared" ca="1" si="351"/>
        <v>1.2258543205005361</v>
      </c>
      <c r="W780" s="304">
        <f t="shared" ca="1" si="352"/>
        <v>58.444524587549495</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2.9167180443343232</v>
      </c>
      <c r="AH780" s="304">
        <f t="shared" ca="1" si="376"/>
        <v>-6.8355763342022628</v>
      </c>
    </row>
    <row r="781" spans="1:34" x14ac:dyDescent="0.3">
      <c r="A781" s="347">
        <f t="shared" ca="1" si="354"/>
        <v>1E-4</v>
      </c>
      <c r="B781" s="304">
        <f t="shared" ca="1" si="355"/>
        <v>33.126600000001083</v>
      </c>
      <c r="D781" s="306">
        <f t="shared" ca="1" si="356"/>
        <v>-0.74032812717447538</v>
      </c>
      <c r="E781" s="307">
        <f t="shared" ca="1" si="357"/>
        <v>-3.0145917844720875</v>
      </c>
      <c r="F781" s="304">
        <f t="shared" ca="1" si="358"/>
        <v>3.1041664521884567</v>
      </c>
      <c r="G781" s="306">
        <f t="shared" ca="1" si="359"/>
        <v>13.433627276878635</v>
      </c>
      <c r="H781" s="307">
        <f t="shared" ca="1" si="360"/>
        <v>-123.30709056258743</v>
      </c>
      <c r="I781" s="304">
        <f t="shared" ca="1" si="361"/>
        <v>124.03669184892121</v>
      </c>
      <c r="J781" s="306">
        <f t="shared" ca="1" si="362"/>
        <v>764.67878961306644</v>
      </c>
      <c r="K781" s="307">
        <f t="shared" ca="1" si="363"/>
        <v>-6.9839445789038859</v>
      </c>
      <c r="L781" s="304">
        <f t="shared" ca="1" si="348"/>
        <v>764.71068173916956</v>
      </c>
      <c r="M781" s="306">
        <f t="shared" ca="1" si="364"/>
        <v>-1.4622798168683158</v>
      </c>
      <c r="N781" s="304">
        <f t="shared" ca="1" si="365"/>
        <v>-83.782461973717417</v>
      </c>
      <c r="P781" s="310">
        <f t="shared" ca="1" si="366"/>
        <v>23</v>
      </c>
      <c r="Q781" s="304">
        <f t="shared" ca="1" si="367"/>
        <v>0</v>
      </c>
      <c r="R781" s="306">
        <f t="shared" ca="1" si="368"/>
        <v>0</v>
      </c>
      <c r="S781" s="307">
        <f t="shared" ca="1" si="369"/>
        <v>8.5499999999999989</v>
      </c>
      <c r="T781" s="304">
        <f t="shared" ca="1" si="349"/>
        <v>83.875499999999988</v>
      </c>
      <c r="U781" s="311">
        <f t="shared" ca="1" si="350"/>
        <v>0</v>
      </c>
      <c r="V781" s="306">
        <f t="shared" ca="1" si="351"/>
        <v>1.2258558320651014</v>
      </c>
      <c r="W781" s="304">
        <f t="shared" ca="1" si="352"/>
        <v>58.44487151552083</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2.9166783778077603</v>
      </c>
      <c r="AH781" s="304">
        <f t="shared" ca="1" si="376"/>
        <v>-6.8356169108245028</v>
      </c>
    </row>
    <row r="782" spans="1:34" x14ac:dyDescent="0.3">
      <c r="A782" s="347">
        <f t="shared" ca="1" si="354"/>
        <v>1E-4</v>
      </c>
      <c r="B782" s="304">
        <f t="shared" ca="1" si="355"/>
        <v>33.126700000001087</v>
      </c>
      <c r="D782" s="306">
        <f t="shared" ca="1" si="356"/>
        <v>-0.74032670096712783</v>
      </c>
      <c r="E782" s="307">
        <f t="shared" ca="1" si="357"/>
        <v>-3.0145508126330665</v>
      </c>
      <c r="F782" s="304">
        <f t="shared" ca="1" si="358"/>
        <v>3.1041263225119482</v>
      </c>
      <c r="G782" s="306">
        <f t="shared" ca="1" si="359"/>
        <v>13.433553244208538</v>
      </c>
      <c r="H782" s="307">
        <f t="shared" ca="1" si="360"/>
        <v>-123.30739201766869</v>
      </c>
      <c r="I782" s="304">
        <f t="shared" ca="1" si="361"/>
        <v>124.03698351283785</v>
      </c>
      <c r="J782" s="306">
        <f t="shared" ca="1" si="362"/>
        <v>764.67878961306644</v>
      </c>
      <c r="K782" s="307">
        <f t="shared" ca="1" si="363"/>
        <v>-6.996275303032899</v>
      </c>
      <c r="L782" s="304">
        <f t="shared" ca="1" si="348"/>
        <v>764.71079445253042</v>
      </c>
      <c r="M782" s="306">
        <f t="shared" ca="1" si="364"/>
        <v>-1.4622806734345115</v>
      </c>
      <c r="N782" s="304">
        <f t="shared" ca="1" si="365"/>
        <v>-83.78251105134531</v>
      </c>
      <c r="P782" s="310">
        <f t="shared" ca="1" si="366"/>
        <v>23</v>
      </c>
      <c r="Q782" s="304">
        <f t="shared" ca="1" si="367"/>
        <v>0</v>
      </c>
      <c r="R782" s="306">
        <f t="shared" ca="1" si="368"/>
        <v>0</v>
      </c>
      <c r="S782" s="307">
        <f t="shared" ca="1" si="369"/>
        <v>8.5499999999999989</v>
      </c>
      <c r="T782" s="304">
        <f t="shared" ca="1" si="349"/>
        <v>83.875499999999988</v>
      </c>
      <c r="U782" s="311">
        <f t="shared" ca="1" si="350"/>
        <v>0</v>
      </c>
      <c r="V782" s="306">
        <f t="shared" ca="1" si="351"/>
        <v>1.2258573436352267</v>
      </c>
      <c r="W782" s="304">
        <f t="shared" ca="1" si="352"/>
        <v>58.445218441343322</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2.9166387115160699</v>
      </c>
      <c r="AH782" s="304">
        <f t="shared" ca="1" si="376"/>
        <v>-6.8356574871954194</v>
      </c>
    </row>
    <row r="783" spans="1:34" x14ac:dyDescent="0.3">
      <c r="A783" s="347">
        <f t="shared" ca="1" si="354"/>
        <v>1E-4</v>
      </c>
      <c r="B783" s="304">
        <f t="shared" ca="1" si="355"/>
        <v>33.12680000000109</v>
      </c>
      <c r="D783" s="306">
        <f t="shared" ca="1" si="356"/>
        <v>-0.74032527472236698</v>
      </c>
      <c r="E783" s="307">
        <f t="shared" ca="1" si="357"/>
        <v>-3.0145098410478282</v>
      </c>
      <c r="F783" s="304">
        <f t="shared" ca="1" si="358"/>
        <v>3.1040861930956347</v>
      </c>
      <c r="G783" s="306">
        <f t="shared" ca="1" si="359"/>
        <v>13.433479211681066</v>
      </c>
      <c r="H783" s="307">
        <f t="shared" ca="1" si="360"/>
        <v>-123.3076934686528</v>
      </c>
      <c r="I783" s="304">
        <f t="shared" ca="1" si="361"/>
        <v>124.03727517278791</v>
      </c>
      <c r="J783" s="306">
        <f t="shared" ca="1" si="362"/>
        <v>764.67878961306644</v>
      </c>
      <c r="K783" s="307">
        <f t="shared" ca="1" si="363"/>
        <v>-7.0086060573072153</v>
      </c>
      <c r="L783" s="304">
        <f t="shared" ca="1" si="348"/>
        <v>764.7109073649799</v>
      </c>
      <c r="M783" s="306">
        <f t="shared" ca="1" si="364"/>
        <v>-1.4622815299919585</v>
      </c>
      <c r="N783" s="304">
        <f t="shared" ca="1" si="365"/>
        <v>-83.782560128471928</v>
      </c>
      <c r="P783" s="310">
        <f t="shared" ca="1" si="366"/>
        <v>23</v>
      </c>
      <c r="Q783" s="304">
        <f t="shared" ca="1" si="367"/>
        <v>0</v>
      </c>
      <c r="R783" s="306">
        <f t="shared" ca="1" si="368"/>
        <v>0</v>
      </c>
      <c r="S783" s="307">
        <f t="shared" ca="1" si="369"/>
        <v>8.5499999999999989</v>
      </c>
      <c r="T783" s="304">
        <f t="shared" ca="1" si="349"/>
        <v>83.875499999999988</v>
      </c>
      <c r="U783" s="311">
        <f t="shared" ca="1" si="350"/>
        <v>0</v>
      </c>
      <c r="V783" s="306">
        <f t="shared" ca="1" si="351"/>
        <v>1.2258588552109122</v>
      </c>
      <c r="W783" s="304">
        <f t="shared" ca="1" si="352"/>
        <v>58.445565365017018</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2.9165990454592556</v>
      </c>
      <c r="AH783" s="304">
        <f t="shared" ca="1" si="376"/>
        <v>-6.8356980633150091</v>
      </c>
    </row>
    <row r="784" spans="1:34" x14ac:dyDescent="0.3">
      <c r="A784" s="347">
        <f t="shared" ca="1" si="354"/>
        <v>1E-4</v>
      </c>
      <c r="B784" s="304">
        <f t="shared" ca="1" si="355"/>
        <v>33.126900000001093</v>
      </c>
      <c r="D784" s="306">
        <f t="shared" ca="1" si="356"/>
        <v>-0.74032384844019361</v>
      </c>
      <c r="E784" s="307">
        <f t="shared" ca="1" si="357"/>
        <v>-3.0144688697163673</v>
      </c>
      <c r="F784" s="304">
        <f t="shared" ca="1" si="358"/>
        <v>3.1040460639395113</v>
      </c>
      <c r="G784" s="306">
        <f t="shared" ca="1" si="359"/>
        <v>13.433405179296221</v>
      </c>
      <c r="H784" s="307">
        <f t="shared" ca="1" si="360"/>
        <v>-123.30799491553977</v>
      </c>
      <c r="I784" s="304">
        <f t="shared" ca="1" si="361"/>
        <v>124.03756682877136</v>
      </c>
      <c r="J784" s="306">
        <f t="shared" ca="1" si="362"/>
        <v>764.67878961306644</v>
      </c>
      <c r="K784" s="307">
        <f t="shared" ca="1" si="363"/>
        <v>-7.0209368417264253</v>
      </c>
      <c r="L784" s="304">
        <f t="shared" ca="1" si="348"/>
        <v>764.71102047651948</v>
      </c>
      <c r="M784" s="306">
        <f t="shared" ca="1" si="364"/>
        <v>-1.4622823865406569</v>
      </c>
      <c r="N784" s="304">
        <f t="shared" ca="1" si="365"/>
        <v>-83.782609205097302</v>
      </c>
      <c r="P784" s="310">
        <f t="shared" ca="1" si="366"/>
        <v>23</v>
      </c>
      <c r="Q784" s="304">
        <f t="shared" ca="1" si="367"/>
        <v>0</v>
      </c>
      <c r="R784" s="306">
        <f t="shared" ca="1" si="368"/>
        <v>0</v>
      </c>
      <c r="S784" s="307">
        <f t="shared" ca="1" si="369"/>
        <v>8.5499999999999989</v>
      </c>
      <c r="T784" s="304">
        <f t="shared" ca="1" si="349"/>
        <v>83.875499999999988</v>
      </c>
      <c r="U784" s="311">
        <f t="shared" ca="1" si="350"/>
        <v>0</v>
      </c>
      <c r="V784" s="306">
        <f t="shared" ca="1" si="351"/>
        <v>1.225860366792157</v>
      </c>
      <c r="W784" s="304">
        <f t="shared" ca="1" si="352"/>
        <v>58.445912286541784</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2.916559379637313</v>
      </c>
      <c r="AH784" s="304">
        <f t="shared" ca="1" si="376"/>
        <v>-6.835738639183278</v>
      </c>
    </row>
    <row r="785" spans="1:34" x14ac:dyDescent="0.3">
      <c r="A785" s="347">
        <f t="shared" ca="1" si="354"/>
        <v>1E-4</v>
      </c>
      <c r="B785" s="304">
        <f t="shared" ca="1" si="355"/>
        <v>33.127000000001097</v>
      </c>
      <c r="D785" s="306">
        <f t="shared" ca="1" si="356"/>
        <v>-0.74032242212060606</v>
      </c>
      <c r="E785" s="307">
        <f t="shared" ca="1" si="357"/>
        <v>-3.0144278986386999</v>
      </c>
      <c r="F785" s="304">
        <f t="shared" ca="1" si="358"/>
        <v>3.1040059350435927</v>
      </c>
      <c r="G785" s="306">
        <f t="shared" ca="1" si="359"/>
        <v>13.433331147054009</v>
      </c>
      <c r="H785" s="307">
        <f t="shared" ca="1" si="360"/>
        <v>-123.30829635832963</v>
      </c>
      <c r="I785" s="304">
        <f t="shared" ca="1" si="361"/>
        <v>124.03785848078827</v>
      </c>
      <c r="J785" s="306">
        <f t="shared" ca="1" si="362"/>
        <v>764.67878961306644</v>
      </c>
      <c r="K785" s="307">
        <f t="shared" ca="1" si="363"/>
        <v>-7.0332676562901186</v>
      </c>
      <c r="L785" s="304">
        <f t="shared" ca="1" si="348"/>
        <v>764.71113378715063</v>
      </c>
      <c r="M785" s="306">
        <f t="shared" ca="1" si="364"/>
        <v>-1.4622832430806068</v>
      </c>
      <c r="N785" s="304">
        <f t="shared" ca="1" si="365"/>
        <v>-83.782658281221401</v>
      </c>
      <c r="P785" s="310">
        <f t="shared" ca="1" si="366"/>
        <v>23</v>
      </c>
      <c r="Q785" s="304">
        <f t="shared" ca="1" si="367"/>
        <v>0</v>
      </c>
      <c r="R785" s="306">
        <f t="shared" ca="1" si="368"/>
        <v>0</v>
      </c>
      <c r="S785" s="307">
        <f t="shared" ca="1" si="369"/>
        <v>8.5499999999999989</v>
      </c>
      <c r="T785" s="304">
        <f t="shared" ca="1" si="349"/>
        <v>83.875499999999988</v>
      </c>
      <c r="U785" s="311">
        <f t="shared" ca="1" si="350"/>
        <v>0</v>
      </c>
      <c r="V785" s="306">
        <f t="shared" ca="1" si="351"/>
        <v>1.2258618783789621</v>
      </c>
      <c r="W785" s="304">
        <f t="shared" ca="1" si="352"/>
        <v>58.446259205917741</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2.9165197140502572</v>
      </c>
      <c r="AH785" s="304">
        <f t="shared" ca="1" si="376"/>
        <v>-6.8357792148002092</v>
      </c>
    </row>
    <row r="786" spans="1:34" x14ac:dyDescent="0.3">
      <c r="A786" s="347">
        <f t="shared" ca="1" si="354"/>
        <v>1E-4</v>
      </c>
      <c r="B786" s="304">
        <f t="shared" ca="1" si="355"/>
        <v>33.1271000000011</v>
      </c>
      <c r="D786" s="306">
        <f t="shared" ca="1" si="356"/>
        <v>-0.74032099576360788</v>
      </c>
      <c r="E786" s="307">
        <f t="shared" ca="1" si="357"/>
        <v>-3.0143869278148099</v>
      </c>
      <c r="F786" s="304">
        <f t="shared" ca="1" si="358"/>
        <v>3.103965806407865</v>
      </c>
      <c r="G786" s="306">
        <f t="shared" ca="1" si="359"/>
        <v>13.433257114954433</v>
      </c>
      <c r="H786" s="307">
        <f t="shared" ca="1" si="360"/>
        <v>-123.30859779702241</v>
      </c>
      <c r="I786" s="304">
        <f t="shared" ca="1" si="361"/>
        <v>124.03815012883864</v>
      </c>
      <c r="J786" s="306">
        <f t="shared" ca="1" si="362"/>
        <v>764.67878961306644</v>
      </c>
      <c r="K786" s="307">
        <f t="shared" ca="1" si="363"/>
        <v>-7.0455985009978859</v>
      </c>
      <c r="L786" s="304">
        <f t="shared" ca="1" si="348"/>
        <v>764.71124729687449</v>
      </c>
      <c r="M786" s="306">
        <f t="shared" ca="1" si="364"/>
        <v>-1.4622840996118083</v>
      </c>
      <c r="N786" s="304">
        <f t="shared" ca="1" si="365"/>
        <v>-83.78270735684427</v>
      </c>
      <c r="P786" s="310">
        <f t="shared" ca="1" si="366"/>
        <v>23</v>
      </c>
      <c r="Q786" s="304">
        <f t="shared" ca="1" si="367"/>
        <v>0</v>
      </c>
      <c r="R786" s="306">
        <f t="shared" ca="1" si="368"/>
        <v>0</v>
      </c>
      <c r="S786" s="307">
        <f t="shared" ca="1" si="369"/>
        <v>8.5499999999999989</v>
      </c>
      <c r="T786" s="304">
        <f t="shared" ca="1" si="349"/>
        <v>83.875499999999988</v>
      </c>
      <c r="U786" s="311">
        <f t="shared" ca="1" si="350"/>
        <v>0</v>
      </c>
      <c r="V786" s="306">
        <f t="shared" ca="1" si="351"/>
        <v>1.2258633899713267</v>
      </c>
      <c r="W786" s="304">
        <f t="shared" ca="1" si="352"/>
        <v>58.446606123144775</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2.9164800486980722</v>
      </c>
      <c r="AH786" s="304">
        <f t="shared" ca="1" si="376"/>
        <v>-6.8358197901658189</v>
      </c>
    </row>
    <row r="787" spans="1:34" x14ac:dyDescent="0.3">
      <c r="A787" s="347">
        <f t="shared" ca="1" si="354"/>
        <v>1E-4</v>
      </c>
      <c r="B787" s="304">
        <f t="shared" ca="1" si="355"/>
        <v>33.127200000001103</v>
      </c>
      <c r="D787" s="306">
        <f t="shared" ca="1" si="356"/>
        <v>-0.74031956936919763</v>
      </c>
      <c r="E787" s="307">
        <f t="shared" ca="1" si="357"/>
        <v>-3.0143459572447133</v>
      </c>
      <c r="F787" s="304">
        <f t="shared" ca="1" si="358"/>
        <v>3.1039256780323434</v>
      </c>
      <c r="G787" s="306">
        <f t="shared" ca="1" si="359"/>
        <v>13.433183082997497</v>
      </c>
      <c r="H787" s="307">
        <f t="shared" ca="1" si="360"/>
        <v>-123.30889923161814</v>
      </c>
      <c r="I787" s="304">
        <f t="shared" ca="1" si="361"/>
        <v>124.03844177292251</v>
      </c>
      <c r="J787" s="306">
        <f t="shared" ca="1" si="362"/>
        <v>764.67878961306644</v>
      </c>
      <c r="K787" s="307">
        <f t="shared" ca="1" si="363"/>
        <v>-7.0579293758493176</v>
      </c>
      <c r="L787" s="304">
        <f t="shared" ca="1" si="348"/>
        <v>764.71136100569265</v>
      </c>
      <c r="M787" s="306">
        <f t="shared" ca="1" si="364"/>
        <v>-1.4622849561342615</v>
      </c>
      <c r="N787" s="304">
        <f t="shared" ca="1" si="365"/>
        <v>-83.782756431965907</v>
      </c>
      <c r="P787" s="310">
        <f t="shared" ca="1" si="366"/>
        <v>23</v>
      </c>
      <c r="Q787" s="304">
        <f t="shared" ca="1" si="367"/>
        <v>0</v>
      </c>
      <c r="R787" s="306">
        <f t="shared" ca="1" si="368"/>
        <v>0</v>
      </c>
      <c r="S787" s="307">
        <f t="shared" ca="1" si="369"/>
        <v>8.5499999999999989</v>
      </c>
      <c r="T787" s="304">
        <f t="shared" ca="1" si="349"/>
        <v>83.875499999999988</v>
      </c>
      <c r="U787" s="311">
        <f t="shared" ca="1" si="350"/>
        <v>0</v>
      </c>
      <c r="V787" s="306">
        <f t="shared" ca="1" si="351"/>
        <v>1.2258649015692513</v>
      </c>
      <c r="W787" s="304">
        <f t="shared" ca="1" si="352"/>
        <v>58.446953038222958</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2.9164403835807748</v>
      </c>
      <c r="AH787" s="304">
        <f t="shared" ca="1" si="376"/>
        <v>-6.8358603652800918</v>
      </c>
    </row>
    <row r="788" spans="1:34" x14ac:dyDescent="0.3">
      <c r="A788" s="347">
        <f t="shared" ca="1" si="354"/>
        <v>1E-4</v>
      </c>
      <c r="B788" s="304">
        <f t="shared" ca="1" si="355"/>
        <v>33.127300000001107</v>
      </c>
      <c r="D788" s="306">
        <f t="shared" ca="1" si="356"/>
        <v>-0.74031814293737785</v>
      </c>
      <c r="E788" s="307">
        <f t="shared" ca="1" si="357"/>
        <v>-3.0143049869284004</v>
      </c>
      <c r="F788" s="304">
        <f t="shared" ca="1" si="358"/>
        <v>3.1038855499170186</v>
      </c>
      <c r="G788" s="306">
        <f t="shared" ca="1" si="359"/>
        <v>13.433109051183203</v>
      </c>
      <c r="H788" s="307">
        <f t="shared" ca="1" si="360"/>
        <v>-123.30920066211684</v>
      </c>
      <c r="I788" s="304">
        <f t="shared" ca="1" si="361"/>
        <v>124.03873341303988</v>
      </c>
      <c r="J788" s="306">
        <f t="shared" ca="1" si="362"/>
        <v>764.67878961306644</v>
      </c>
      <c r="K788" s="307">
        <f t="shared" ca="1" si="363"/>
        <v>-7.0702602808440043</v>
      </c>
      <c r="L788" s="304">
        <f t="shared" ca="1" si="348"/>
        <v>764.71147491360637</v>
      </c>
      <c r="M788" s="306">
        <f t="shared" ca="1" si="364"/>
        <v>-1.4622858126479665</v>
      </c>
      <c r="N788" s="304">
        <f t="shared" ca="1" si="365"/>
        <v>-83.7828055065863</v>
      </c>
      <c r="P788" s="310">
        <f t="shared" ca="1" si="366"/>
        <v>23</v>
      </c>
      <c r="Q788" s="304">
        <f t="shared" ca="1" si="367"/>
        <v>0</v>
      </c>
      <c r="R788" s="306">
        <f t="shared" ca="1" si="368"/>
        <v>0</v>
      </c>
      <c r="S788" s="307">
        <f t="shared" ca="1" si="369"/>
        <v>8.5499999999999989</v>
      </c>
      <c r="T788" s="304">
        <f t="shared" ca="1" si="349"/>
        <v>83.875499999999988</v>
      </c>
      <c r="U788" s="311">
        <f t="shared" ca="1" si="350"/>
        <v>0</v>
      </c>
      <c r="V788" s="306">
        <f t="shared" ca="1" si="351"/>
        <v>1.2258664131727357</v>
      </c>
      <c r="W788" s="304">
        <f t="shared" ca="1" si="352"/>
        <v>58.447299951152203</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2.9164007186983598</v>
      </c>
      <c r="AH788" s="304">
        <f t="shared" ca="1" si="376"/>
        <v>-6.8359009401430368</v>
      </c>
    </row>
    <row r="789" spans="1:34" x14ac:dyDescent="0.3">
      <c r="A789" s="347">
        <f t="shared" ca="1" si="354"/>
        <v>1E-4</v>
      </c>
      <c r="B789" s="304">
        <f t="shared" ca="1" si="355"/>
        <v>33.12740000000111</v>
      </c>
      <c r="D789" s="306">
        <f t="shared" ca="1" si="356"/>
        <v>-0.7403167164681479</v>
      </c>
      <c r="E789" s="307">
        <f t="shared" ca="1" si="357"/>
        <v>-3.0142640168658819</v>
      </c>
      <c r="F789" s="304">
        <f t="shared" ca="1" si="358"/>
        <v>3.1038454220619012</v>
      </c>
      <c r="G789" s="306">
        <f t="shared" ca="1" si="359"/>
        <v>13.433035019511557</v>
      </c>
      <c r="H789" s="307">
        <f t="shared" ca="1" si="360"/>
        <v>-123.30950208851853</v>
      </c>
      <c r="I789" s="304">
        <f t="shared" ca="1" si="361"/>
        <v>124.03902504919078</v>
      </c>
      <c r="J789" s="306">
        <f t="shared" ca="1" si="362"/>
        <v>764.67878961306644</v>
      </c>
      <c r="K789" s="307">
        <f t="shared" ca="1" si="363"/>
        <v>-7.0825912159815356</v>
      </c>
      <c r="L789" s="304">
        <f t="shared" ca="1" si="348"/>
        <v>764.711589020617</v>
      </c>
      <c r="M789" s="306">
        <f t="shared" ca="1" si="364"/>
        <v>-1.4622866691529237</v>
      </c>
      <c r="N789" s="304">
        <f t="shared" ca="1" si="365"/>
        <v>-83.782854580705475</v>
      </c>
      <c r="P789" s="310">
        <f t="shared" ca="1" si="366"/>
        <v>23</v>
      </c>
      <c r="Q789" s="304">
        <f t="shared" ca="1" si="367"/>
        <v>0</v>
      </c>
      <c r="R789" s="306">
        <f t="shared" ca="1" si="368"/>
        <v>0</v>
      </c>
      <c r="S789" s="307">
        <f t="shared" ca="1" si="369"/>
        <v>8.5499999999999989</v>
      </c>
      <c r="T789" s="304">
        <f t="shared" ca="1" si="349"/>
        <v>83.875499999999988</v>
      </c>
      <c r="U789" s="311">
        <f t="shared" ca="1" si="350"/>
        <v>0</v>
      </c>
      <c r="V789" s="306">
        <f t="shared" ca="1" si="351"/>
        <v>1.2258679247817796</v>
      </c>
      <c r="W789" s="304">
        <f t="shared" ca="1" si="352"/>
        <v>58.447646861932533</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2.916361054050828</v>
      </c>
      <c r="AH789" s="304">
        <f t="shared" ca="1" si="376"/>
        <v>-6.8359415147546443</v>
      </c>
    </row>
    <row r="790" spans="1:34" x14ac:dyDescent="0.3">
      <c r="A790" s="347">
        <f t="shared" ca="1" si="354"/>
        <v>1E-4</v>
      </c>
      <c r="B790" s="304">
        <f t="shared" ca="1" si="355"/>
        <v>33.127500000001113</v>
      </c>
      <c r="D790" s="306">
        <f t="shared" ca="1" si="356"/>
        <v>-0.74031528996150808</v>
      </c>
      <c r="E790" s="307">
        <f t="shared" ca="1" si="357"/>
        <v>-3.0142230470571549</v>
      </c>
      <c r="F790" s="304">
        <f t="shared" ca="1" si="358"/>
        <v>3.1038052944669889</v>
      </c>
      <c r="G790" s="306">
        <f t="shared" ca="1" si="359"/>
        <v>13.432960987982561</v>
      </c>
      <c r="H790" s="307">
        <f t="shared" ca="1" si="360"/>
        <v>-123.30980351082323</v>
      </c>
      <c r="I790" s="304">
        <f t="shared" ca="1" si="361"/>
        <v>124.03931668137524</v>
      </c>
      <c r="J790" s="306">
        <f t="shared" ca="1" si="362"/>
        <v>764.67878961306644</v>
      </c>
      <c r="K790" s="307">
        <f t="shared" ca="1" si="363"/>
        <v>-7.0949221812615031</v>
      </c>
      <c r="L790" s="304">
        <f t="shared" ca="1" si="348"/>
        <v>764.71170332672591</v>
      </c>
      <c r="M790" s="306">
        <f t="shared" ca="1" si="364"/>
        <v>-1.462287525649133</v>
      </c>
      <c r="N790" s="304">
        <f t="shared" ca="1" si="365"/>
        <v>-83.782903654323434</v>
      </c>
      <c r="P790" s="310">
        <f t="shared" ca="1" si="366"/>
        <v>23</v>
      </c>
      <c r="Q790" s="304">
        <f t="shared" ca="1" si="367"/>
        <v>0</v>
      </c>
      <c r="R790" s="306">
        <f t="shared" ca="1" si="368"/>
        <v>0</v>
      </c>
      <c r="S790" s="307">
        <f t="shared" ca="1" si="369"/>
        <v>8.5499999999999989</v>
      </c>
      <c r="T790" s="304">
        <f t="shared" ca="1" si="349"/>
        <v>83.875499999999988</v>
      </c>
      <c r="U790" s="311">
        <f t="shared" ca="1" si="350"/>
        <v>0</v>
      </c>
      <c r="V790" s="306">
        <f t="shared" ca="1" si="351"/>
        <v>1.2258694363963836</v>
      </c>
      <c r="W790" s="304">
        <f t="shared" ca="1" si="352"/>
        <v>58.447993770563912</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2.9163213896381874</v>
      </c>
      <c r="AH790" s="304">
        <f t="shared" ca="1" si="376"/>
        <v>-6.8359820891149168</v>
      </c>
    </row>
    <row r="791" spans="1:34" x14ac:dyDescent="0.3">
      <c r="A791" s="347">
        <f t="shared" ca="1" si="354"/>
        <v>1E-4</v>
      </c>
      <c r="B791" s="304">
        <f t="shared" ca="1" si="355"/>
        <v>33.127600000001117</v>
      </c>
      <c r="D791" s="306">
        <f t="shared" ca="1" si="356"/>
        <v>-0.74031386341745964</v>
      </c>
      <c r="E791" s="307">
        <f t="shared" ca="1" si="357"/>
        <v>-3.0141820775022223</v>
      </c>
      <c r="F791" s="304">
        <f t="shared" ca="1" si="358"/>
        <v>3.1037651671322846</v>
      </c>
      <c r="G791" s="306">
        <f t="shared" ca="1" si="359"/>
        <v>13.432886956596219</v>
      </c>
      <c r="H791" s="307">
        <f t="shared" ca="1" si="360"/>
        <v>-123.31010492903098</v>
      </c>
      <c r="I791" s="304">
        <f t="shared" ca="1" si="361"/>
        <v>124.03960830959329</v>
      </c>
      <c r="J791" s="306">
        <f t="shared" ca="1" si="362"/>
        <v>764.67878961306644</v>
      </c>
      <c r="K791" s="307">
        <f t="shared" ca="1" si="363"/>
        <v>-7.1072531766834954</v>
      </c>
      <c r="L791" s="304">
        <f t="shared" ca="1" si="348"/>
        <v>764.71181783193458</v>
      </c>
      <c r="M791" s="306">
        <f t="shared" ca="1" si="364"/>
        <v>-1.4622883821365946</v>
      </c>
      <c r="N791" s="304">
        <f t="shared" ca="1" si="365"/>
        <v>-83.78295272744019</v>
      </c>
      <c r="P791" s="310">
        <f t="shared" ca="1" si="366"/>
        <v>23</v>
      </c>
      <c r="Q791" s="304">
        <f t="shared" ca="1" si="367"/>
        <v>0</v>
      </c>
      <c r="R791" s="306">
        <f t="shared" ca="1" si="368"/>
        <v>0</v>
      </c>
      <c r="S791" s="307">
        <f t="shared" ca="1" si="369"/>
        <v>8.5499999999999989</v>
      </c>
      <c r="T791" s="304">
        <f t="shared" ca="1" si="349"/>
        <v>83.875499999999988</v>
      </c>
      <c r="U791" s="311">
        <f t="shared" ca="1" si="350"/>
        <v>0</v>
      </c>
      <c r="V791" s="306">
        <f t="shared" ca="1" si="351"/>
        <v>1.2258709480165466</v>
      </c>
      <c r="W791" s="304">
        <f t="shared" ca="1" si="352"/>
        <v>58.448340677046339</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2.9162817254604372</v>
      </c>
      <c r="AH791" s="304">
        <f t="shared" ca="1" si="376"/>
        <v>-6.8360226632238499</v>
      </c>
    </row>
    <row r="792" spans="1:34" x14ac:dyDescent="0.3">
      <c r="A792" s="347">
        <f t="shared" ca="1" si="354"/>
        <v>1E-4</v>
      </c>
      <c r="B792" s="304">
        <f t="shared" ca="1" si="355"/>
        <v>33.12770000000112</v>
      </c>
      <c r="D792" s="306">
        <f t="shared" ca="1" si="356"/>
        <v>-0.74031243683600301</v>
      </c>
      <c r="E792" s="307">
        <f t="shared" ca="1" si="357"/>
        <v>-3.0141411082010858</v>
      </c>
      <c r="F792" s="304">
        <f t="shared" ca="1" si="358"/>
        <v>3.1037250400577903</v>
      </c>
      <c r="G792" s="306">
        <f t="shared" ca="1" si="359"/>
        <v>13.432812925352536</v>
      </c>
      <c r="H792" s="307">
        <f t="shared" ca="1" si="360"/>
        <v>-123.31040634314181</v>
      </c>
      <c r="I792" s="304">
        <f t="shared" ca="1" si="361"/>
        <v>124.03989993384494</v>
      </c>
      <c r="J792" s="306">
        <f t="shared" ca="1" si="362"/>
        <v>764.67878961306644</v>
      </c>
      <c r="K792" s="307">
        <f t="shared" ca="1" si="363"/>
        <v>-7.1195842022471041</v>
      </c>
      <c r="L792" s="304">
        <f t="shared" ca="1" si="348"/>
        <v>764.71193253624415</v>
      </c>
      <c r="M792" s="306">
        <f t="shared" ca="1" si="364"/>
        <v>-1.4622892386153088</v>
      </c>
      <c r="N792" s="304">
        <f t="shared" ca="1" si="365"/>
        <v>-83.783001800055757</v>
      </c>
      <c r="P792" s="310">
        <f t="shared" ca="1" si="366"/>
        <v>23</v>
      </c>
      <c r="Q792" s="304">
        <f t="shared" ca="1" si="367"/>
        <v>0</v>
      </c>
      <c r="R792" s="306">
        <f t="shared" ca="1" si="368"/>
        <v>0</v>
      </c>
      <c r="S792" s="307">
        <f t="shared" ca="1" si="369"/>
        <v>8.5499999999999989</v>
      </c>
      <c r="T792" s="304">
        <f t="shared" ca="1" si="349"/>
        <v>83.875499999999988</v>
      </c>
      <c r="U792" s="311">
        <f t="shared" ca="1" si="350"/>
        <v>0</v>
      </c>
      <c r="V792" s="306">
        <f t="shared" ca="1" si="351"/>
        <v>1.2258724596422694</v>
      </c>
      <c r="W792" s="304">
        <f t="shared" ca="1" si="352"/>
        <v>58.448687581379794</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2.916242061517579</v>
      </c>
      <c r="AH792" s="304">
        <f t="shared" ca="1" si="376"/>
        <v>-6.8360632370814436</v>
      </c>
    </row>
    <row r="793" spans="1:34" x14ac:dyDescent="0.3">
      <c r="A793" s="347">
        <f t="shared" ca="1" si="354"/>
        <v>1E-4</v>
      </c>
      <c r="B793" s="304">
        <f t="shared" ca="1" si="355"/>
        <v>33.127800000001123</v>
      </c>
      <c r="D793" s="306">
        <f t="shared" ca="1" si="356"/>
        <v>-0.74031101021713785</v>
      </c>
      <c r="E793" s="307">
        <f t="shared" ca="1" si="357"/>
        <v>-3.0141001391537472</v>
      </c>
      <c r="F793" s="304">
        <f t="shared" ca="1" si="358"/>
        <v>3.1036849132435074</v>
      </c>
      <c r="G793" s="306">
        <f t="shared" ca="1" si="359"/>
        <v>13.432738894251514</v>
      </c>
      <c r="H793" s="307">
        <f t="shared" ca="1" si="360"/>
        <v>-123.31070775315573</v>
      </c>
      <c r="I793" s="304">
        <f t="shared" ca="1" si="361"/>
        <v>124.04019155413022</v>
      </c>
      <c r="J793" s="306">
        <f t="shared" ca="1" si="362"/>
        <v>764.67878961306644</v>
      </c>
      <c r="K793" s="307">
        <f t="shared" ca="1" si="363"/>
        <v>-7.1319152579519187</v>
      </c>
      <c r="L793" s="304">
        <f t="shared" ca="1" si="348"/>
        <v>764.7120474396562</v>
      </c>
      <c r="M793" s="306">
        <f t="shared" ca="1" si="364"/>
        <v>-1.4622900950852755</v>
      </c>
      <c r="N793" s="304">
        <f t="shared" ca="1" si="365"/>
        <v>-83.783050872170136</v>
      </c>
      <c r="P793" s="310">
        <f t="shared" ca="1" si="366"/>
        <v>23</v>
      </c>
      <c r="Q793" s="304">
        <f t="shared" ca="1" si="367"/>
        <v>0</v>
      </c>
      <c r="R793" s="306">
        <f t="shared" ca="1" si="368"/>
        <v>0</v>
      </c>
      <c r="S793" s="307">
        <f t="shared" ca="1" si="369"/>
        <v>8.5499999999999989</v>
      </c>
      <c r="T793" s="304">
        <f t="shared" ca="1" si="349"/>
        <v>83.875499999999988</v>
      </c>
      <c r="U793" s="311">
        <f t="shared" ca="1" si="350"/>
        <v>0</v>
      </c>
      <c r="V793" s="306">
        <f t="shared" ca="1" si="351"/>
        <v>1.2258739712735522</v>
      </c>
      <c r="W793" s="304">
        <f t="shared" ca="1" si="352"/>
        <v>58.449034483564297</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2.9162023978096148</v>
      </c>
      <c r="AH793" s="304">
        <f t="shared" ca="1" si="376"/>
        <v>-6.8361038106876961</v>
      </c>
    </row>
    <row r="794" spans="1:34" x14ac:dyDescent="0.3">
      <c r="A794" s="347">
        <f t="shared" ca="1" si="354"/>
        <v>1E-4</v>
      </c>
      <c r="B794" s="304">
        <f t="shared" ca="1" si="355"/>
        <v>33.127900000001127</v>
      </c>
      <c r="D794" s="306">
        <f t="shared" ca="1" si="356"/>
        <v>-0.74030958356086618</v>
      </c>
      <c r="E794" s="307">
        <f t="shared" ca="1" si="357"/>
        <v>-3.0140591703602047</v>
      </c>
      <c r="F794" s="304">
        <f t="shared" ca="1" si="358"/>
        <v>3.103644786689435</v>
      </c>
      <c r="G794" s="306">
        <f t="shared" ca="1" si="359"/>
        <v>13.432664863293159</v>
      </c>
      <c r="H794" s="307">
        <f t="shared" ca="1" si="360"/>
        <v>-123.31100915907277</v>
      </c>
      <c r="I794" s="304">
        <f t="shared" ca="1" si="361"/>
        <v>124.04048317044915</v>
      </c>
      <c r="J794" s="306">
        <f t="shared" ca="1" si="362"/>
        <v>764.67878961306644</v>
      </c>
      <c r="K794" s="307">
        <f t="shared" ca="1" si="363"/>
        <v>-7.1442463437975299</v>
      </c>
      <c r="L794" s="304">
        <f t="shared" ca="1" si="348"/>
        <v>764.71216254217188</v>
      </c>
      <c r="M794" s="306">
        <f t="shared" ca="1" si="364"/>
        <v>-1.462290951546495</v>
      </c>
      <c r="N794" s="304">
        <f t="shared" ca="1" si="365"/>
        <v>-83.783099943783327</v>
      </c>
      <c r="P794" s="310">
        <f t="shared" ca="1" si="366"/>
        <v>23</v>
      </c>
      <c r="Q794" s="304">
        <f t="shared" ca="1" si="367"/>
        <v>0</v>
      </c>
      <c r="R794" s="306">
        <f t="shared" ca="1" si="368"/>
        <v>0</v>
      </c>
      <c r="S794" s="307">
        <f t="shared" ca="1" si="369"/>
        <v>8.5499999999999989</v>
      </c>
      <c r="T794" s="304">
        <f t="shared" ca="1" si="349"/>
        <v>83.875499999999988</v>
      </c>
      <c r="U794" s="311">
        <f t="shared" ca="1" si="350"/>
        <v>0</v>
      </c>
      <c r="V794" s="306">
        <f t="shared" ca="1" si="351"/>
        <v>1.2258754829103942</v>
      </c>
      <c r="W794" s="304">
        <f t="shared" ca="1" si="352"/>
        <v>58.4493813835998</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2.9161627343365435</v>
      </c>
      <c r="AH794" s="304">
        <f t="shared" ca="1" si="376"/>
        <v>-6.8361443840426084</v>
      </c>
    </row>
    <row r="795" spans="1:34" x14ac:dyDescent="0.3">
      <c r="A795" s="347">
        <f t="shared" ca="1" si="354"/>
        <v>1E-4</v>
      </c>
      <c r="B795" s="304">
        <f t="shared" ca="1" si="355"/>
        <v>33.12800000000113</v>
      </c>
      <c r="D795" s="306">
        <f t="shared" ca="1" si="356"/>
        <v>-0.74030815686718776</v>
      </c>
      <c r="E795" s="307">
        <f t="shared" ca="1" si="357"/>
        <v>-3.0140182018204635</v>
      </c>
      <c r="F795" s="304">
        <f t="shared" ca="1" si="358"/>
        <v>3.1036046603955785</v>
      </c>
      <c r="G795" s="306">
        <f t="shared" ca="1" si="359"/>
        <v>13.432590832477471</v>
      </c>
      <c r="H795" s="307">
        <f t="shared" ca="1" si="360"/>
        <v>-123.31131056089295</v>
      </c>
      <c r="I795" s="304">
        <f t="shared" ca="1" si="361"/>
        <v>124.04077478280175</v>
      </c>
      <c r="J795" s="306">
        <f t="shared" ca="1" si="362"/>
        <v>764.67878961306644</v>
      </c>
      <c r="K795" s="307">
        <f t="shared" ca="1" si="363"/>
        <v>-7.1565774597835281</v>
      </c>
      <c r="L795" s="304">
        <f t="shared" ca="1" si="348"/>
        <v>764.71227784379289</v>
      </c>
      <c r="M795" s="306">
        <f t="shared" ca="1" si="364"/>
        <v>-1.4622918079989673</v>
      </c>
      <c r="N795" s="304">
        <f t="shared" ca="1" si="365"/>
        <v>-83.783149014895343</v>
      </c>
      <c r="P795" s="310">
        <f t="shared" ca="1" si="366"/>
        <v>23</v>
      </c>
      <c r="Q795" s="304">
        <f t="shared" ca="1" si="367"/>
        <v>0</v>
      </c>
      <c r="R795" s="306">
        <f t="shared" ca="1" si="368"/>
        <v>0</v>
      </c>
      <c r="S795" s="307">
        <f t="shared" ca="1" si="369"/>
        <v>8.5499999999999989</v>
      </c>
      <c r="T795" s="304">
        <f t="shared" ca="1" si="349"/>
        <v>83.875499999999988</v>
      </c>
      <c r="U795" s="311">
        <f t="shared" ca="1" si="350"/>
        <v>0</v>
      </c>
      <c r="V795" s="306">
        <f t="shared" ca="1" si="351"/>
        <v>1.2258769945527961</v>
      </c>
      <c r="W795" s="304">
        <f t="shared" ca="1" si="352"/>
        <v>58.449728281486301</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2.9161230710983714</v>
      </c>
      <c r="AH795" s="304">
        <f t="shared" ca="1" si="376"/>
        <v>-6.8361849571461759</v>
      </c>
    </row>
    <row r="796" spans="1:34" x14ac:dyDescent="0.3">
      <c r="A796" s="347">
        <f t="shared" ca="1" si="354"/>
        <v>1E-4</v>
      </c>
      <c r="B796" s="304">
        <f t="shared" ca="1" si="355"/>
        <v>33.128100000001133</v>
      </c>
      <c r="D796" s="306">
        <f t="shared" ca="1" si="356"/>
        <v>-0.74030673013610415</v>
      </c>
      <c r="E796" s="307">
        <f t="shared" ca="1" si="357"/>
        <v>-3.0139772335345238</v>
      </c>
      <c r="F796" s="304">
        <f t="shared" ca="1" si="358"/>
        <v>3.1035645343619378</v>
      </c>
      <c r="G796" s="306">
        <f t="shared" ca="1" si="359"/>
        <v>13.432516801804457</v>
      </c>
      <c r="H796" s="307">
        <f t="shared" ca="1" si="360"/>
        <v>-123.3116119586163</v>
      </c>
      <c r="I796" s="304">
        <f t="shared" ca="1" si="361"/>
        <v>124.04106639118805</v>
      </c>
      <c r="J796" s="306">
        <f t="shared" ca="1" si="362"/>
        <v>764.67878961306644</v>
      </c>
      <c r="K796" s="307">
        <f t="shared" ca="1" si="363"/>
        <v>-7.168908605909504</v>
      </c>
      <c r="L796" s="304">
        <f t="shared" ca="1" si="348"/>
        <v>764.71239334452025</v>
      </c>
      <c r="M796" s="306">
        <f t="shared" ca="1" si="364"/>
        <v>-1.4622926644426926</v>
      </c>
      <c r="N796" s="304">
        <f t="shared" ca="1" si="365"/>
        <v>-83.783198085506186</v>
      </c>
      <c r="P796" s="310">
        <f t="shared" ca="1" si="366"/>
        <v>23</v>
      </c>
      <c r="Q796" s="304">
        <f t="shared" ca="1" si="367"/>
        <v>0</v>
      </c>
      <c r="R796" s="306">
        <f t="shared" ca="1" si="368"/>
        <v>0</v>
      </c>
      <c r="S796" s="307">
        <f t="shared" ca="1" si="369"/>
        <v>8.5499999999999989</v>
      </c>
      <c r="T796" s="304">
        <f t="shared" ca="1" si="349"/>
        <v>83.875499999999988</v>
      </c>
      <c r="U796" s="311">
        <f t="shared" ca="1" si="350"/>
        <v>0</v>
      </c>
      <c r="V796" s="306">
        <f t="shared" ca="1" si="351"/>
        <v>1.2258785062007571</v>
      </c>
      <c r="W796" s="304">
        <f t="shared" ca="1" si="352"/>
        <v>58.450075177223766</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2.9160834080950968</v>
      </c>
      <c r="AH796" s="304">
        <f t="shared" ca="1" si="376"/>
        <v>-6.8362255299983987</v>
      </c>
    </row>
    <row r="797" spans="1:34" x14ac:dyDescent="0.3">
      <c r="A797" s="347">
        <f t="shared" ca="1" si="354"/>
        <v>1E-4</v>
      </c>
      <c r="B797" s="304">
        <f t="shared" ca="1" si="355"/>
        <v>33.128200000001137</v>
      </c>
      <c r="D797" s="306">
        <f t="shared" ca="1" si="356"/>
        <v>-0.74030530336761513</v>
      </c>
      <c r="E797" s="307">
        <f t="shared" ca="1" si="357"/>
        <v>-3.0139362655023891</v>
      </c>
      <c r="F797" s="304">
        <f t="shared" ca="1" si="358"/>
        <v>3.103524408588517</v>
      </c>
      <c r="G797" s="306">
        <f t="shared" ca="1" si="359"/>
        <v>13.43244277127412</v>
      </c>
      <c r="H797" s="307">
        <f t="shared" ca="1" si="360"/>
        <v>-123.31191335224284</v>
      </c>
      <c r="I797" s="304">
        <f t="shared" ca="1" si="361"/>
        <v>124.04135799560807</v>
      </c>
      <c r="J797" s="306">
        <f t="shared" ca="1" si="362"/>
        <v>764.67878961306644</v>
      </c>
      <c r="K797" s="307">
        <f t="shared" ca="1" si="363"/>
        <v>-7.1812397821750471</v>
      </c>
      <c r="L797" s="304">
        <f t="shared" ca="1" si="348"/>
        <v>764.71250904435544</v>
      </c>
      <c r="M797" s="306">
        <f t="shared" ca="1" si="364"/>
        <v>-1.4622935208776708</v>
      </c>
      <c r="N797" s="304">
        <f t="shared" ca="1" si="365"/>
        <v>-83.783247155615868</v>
      </c>
      <c r="P797" s="310">
        <f t="shared" ca="1" si="366"/>
        <v>23</v>
      </c>
      <c r="Q797" s="304">
        <f t="shared" ca="1" si="367"/>
        <v>0</v>
      </c>
      <c r="R797" s="306">
        <f t="shared" ca="1" si="368"/>
        <v>0</v>
      </c>
      <c r="S797" s="307">
        <f t="shared" ca="1" si="369"/>
        <v>8.5499999999999989</v>
      </c>
      <c r="T797" s="304">
        <f t="shared" ca="1" si="349"/>
        <v>83.875499999999988</v>
      </c>
      <c r="U797" s="311">
        <f t="shared" ca="1" si="350"/>
        <v>0</v>
      </c>
      <c r="V797" s="306">
        <f t="shared" ca="1" si="351"/>
        <v>1.2258800178542777</v>
      </c>
      <c r="W797" s="304">
        <f t="shared" ca="1" si="352"/>
        <v>58.450422070812202</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2.9160437453267285</v>
      </c>
      <c r="AH797" s="304">
        <f t="shared" ca="1" si="376"/>
        <v>-6.8362661025992715</v>
      </c>
    </row>
    <row r="798" spans="1:34" x14ac:dyDescent="0.3">
      <c r="A798" s="347">
        <f t="shared" ca="1" si="354"/>
        <v>1E-4</v>
      </c>
      <c r="B798" s="304">
        <f t="shared" ca="1" si="355"/>
        <v>33.12830000000114</v>
      </c>
      <c r="D798" s="306">
        <f t="shared" ca="1" si="356"/>
        <v>-0.74030387656172258</v>
      </c>
      <c r="E798" s="307">
        <f t="shared" ca="1" si="357"/>
        <v>-3.0138952977240594</v>
      </c>
      <c r="F798" s="304">
        <f t="shared" ca="1" si="358"/>
        <v>3.1034842830753164</v>
      </c>
      <c r="G798" s="306">
        <f t="shared" ca="1" si="359"/>
        <v>13.432368740886464</v>
      </c>
      <c r="H798" s="307">
        <f t="shared" ca="1" si="360"/>
        <v>-123.31221474177261</v>
      </c>
      <c r="I798" s="304">
        <f t="shared" ca="1" si="361"/>
        <v>124.04164959606183</v>
      </c>
      <c r="J798" s="306">
        <f t="shared" ca="1" si="362"/>
        <v>764.67878961306644</v>
      </c>
      <c r="K798" s="307">
        <f t="shared" ca="1" si="363"/>
        <v>-7.1935709885797481</v>
      </c>
      <c r="L798" s="304">
        <f t="shared" ca="1" si="348"/>
        <v>764.71262494329994</v>
      </c>
      <c r="M798" s="306">
        <f t="shared" ca="1" si="364"/>
        <v>-1.4622943773039025</v>
      </c>
      <c r="N798" s="304">
        <f t="shared" ca="1" si="365"/>
        <v>-83.783296225224419</v>
      </c>
      <c r="P798" s="310">
        <f t="shared" ca="1" si="366"/>
        <v>23</v>
      </c>
      <c r="Q798" s="304">
        <f t="shared" ca="1" si="367"/>
        <v>0</v>
      </c>
      <c r="R798" s="306">
        <f t="shared" ca="1" si="368"/>
        <v>0</v>
      </c>
      <c r="S798" s="307">
        <f t="shared" ca="1" si="369"/>
        <v>8.5499999999999989</v>
      </c>
      <c r="T798" s="304">
        <f t="shared" ca="1" si="349"/>
        <v>83.875499999999988</v>
      </c>
      <c r="U798" s="311">
        <f t="shared" ca="1" si="350"/>
        <v>0</v>
      </c>
      <c r="V798" s="306">
        <f t="shared" ca="1" si="351"/>
        <v>1.2258815295133578</v>
      </c>
      <c r="W798" s="304">
        <f t="shared" ca="1" si="352"/>
        <v>58.450768962251594</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2.9160040827932603</v>
      </c>
      <c r="AH798" s="304">
        <f t="shared" ca="1" si="376"/>
        <v>-6.8363066749487968</v>
      </c>
    </row>
    <row r="799" spans="1:34" x14ac:dyDescent="0.3">
      <c r="A799" s="347">
        <f t="shared" ca="1" si="354"/>
        <v>1E-4</v>
      </c>
      <c r="B799" s="304">
        <f t="shared" ca="1" si="355"/>
        <v>33.128400000001143</v>
      </c>
      <c r="D799" s="306">
        <f t="shared" ca="1" si="356"/>
        <v>-0.74030244971842485</v>
      </c>
      <c r="E799" s="307">
        <f t="shared" ca="1" si="357"/>
        <v>-3.0138543301995355</v>
      </c>
      <c r="F799" s="304">
        <f t="shared" ca="1" si="358"/>
        <v>3.1034441578223366</v>
      </c>
      <c r="G799" s="306">
        <f t="shared" ca="1" si="359"/>
        <v>13.432294710641491</v>
      </c>
      <c r="H799" s="307">
        <f t="shared" ca="1" si="360"/>
        <v>-123.31251612720563</v>
      </c>
      <c r="I799" s="304">
        <f t="shared" ca="1" si="361"/>
        <v>124.04194119254936</v>
      </c>
      <c r="J799" s="306">
        <f t="shared" ca="1" si="362"/>
        <v>764.67878961306644</v>
      </c>
      <c r="K799" s="307">
        <f t="shared" ca="1" si="363"/>
        <v>-7.2059022251231966</v>
      </c>
      <c r="L799" s="304">
        <f t="shared" ca="1" si="348"/>
        <v>764.71274104135489</v>
      </c>
      <c r="M799" s="306">
        <f t="shared" ca="1" si="364"/>
        <v>-1.4622952337213877</v>
      </c>
      <c r="N799" s="304">
        <f t="shared" ca="1" si="365"/>
        <v>-83.783345294331809</v>
      </c>
      <c r="P799" s="310">
        <f t="shared" ca="1" si="366"/>
        <v>23</v>
      </c>
      <c r="Q799" s="304">
        <f t="shared" ca="1" si="367"/>
        <v>0</v>
      </c>
      <c r="R799" s="306">
        <f t="shared" ca="1" si="368"/>
        <v>0</v>
      </c>
      <c r="S799" s="307">
        <f t="shared" ca="1" si="369"/>
        <v>8.5499999999999989</v>
      </c>
      <c r="T799" s="304">
        <f t="shared" ca="1" si="349"/>
        <v>83.875499999999988</v>
      </c>
      <c r="U799" s="311">
        <f t="shared" ca="1" si="350"/>
        <v>0</v>
      </c>
      <c r="V799" s="306">
        <f t="shared" ca="1" si="351"/>
        <v>1.2258830411779973</v>
      </c>
      <c r="W799" s="304">
        <f t="shared" ca="1" si="352"/>
        <v>58.451115851541928</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2.9159644204946993</v>
      </c>
      <c r="AH799" s="304">
        <f t="shared" ca="1" si="376"/>
        <v>-6.8363472470469713</v>
      </c>
    </row>
    <row r="800" spans="1:34" x14ac:dyDescent="0.3">
      <c r="A800" s="347">
        <f t="shared" ca="1" si="354"/>
        <v>1E-4</v>
      </c>
      <c r="B800" s="304">
        <f t="shared" ca="1" si="355"/>
        <v>33.128500000001146</v>
      </c>
      <c r="D800" s="306">
        <f t="shared" ca="1" si="356"/>
        <v>-0.74030102283772359</v>
      </c>
      <c r="E800" s="307">
        <f t="shared" ca="1" si="357"/>
        <v>-3.0138133629288211</v>
      </c>
      <c r="F800" s="304">
        <f t="shared" ca="1" si="358"/>
        <v>3.1034040328295815</v>
      </c>
      <c r="G800" s="306">
        <f t="shared" ca="1" si="359"/>
        <v>13.432220680539208</v>
      </c>
      <c r="H800" s="307">
        <f t="shared" ca="1" si="360"/>
        <v>-123.31281750854193</v>
      </c>
      <c r="I800" s="304">
        <f t="shared" ca="1" si="361"/>
        <v>124.04223278507069</v>
      </c>
      <c r="J800" s="306">
        <f t="shared" ca="1" si="362"/>
        <v>764.67878961306644</v>
      </c>
      <c r="K800" s="307">
        <f t="shared" ca="1" si="363"/>
        <v>-7.218233491804984</v>
      </c>
      <c r="L800" s="304">
        <f t="shared" ca="1" si="348"/>
        <v>764.71285733852187</v>
      </c>
      <c r="M800" s="306">
        <f t="shared" ca="1" si="364"/>
        <v>-1.4622960901301263</v>
      </c>
      <c r="N800" s="304">
        <f t="shared" ca="1" si="365"/>
        <v>-83.783394362938068</v>
      </c>
      <c r="P800" s="310">
        <f t="shared" ca="1" si="366"/>
        <v>23</v>
      </c>
      <c r="Q800" s="304">
        <f t="shared" ca="1" si="367"/>
        <v>0</v>
      </c>
      <c r="R800" s="306">
        <f t="shared" ca="1" si="368"/>
        <v>0</v>
      </c>
      <c r="S800" s="307">
        <f t="shared" ca="1" si="369"/>
        <v>8.5499999999999989</v>
      </c>
      <c r="T800" s="304">
        <f t="shared" ca="1" si="349"/>
        <v>83.875499999999988</v>
      </c>
      <c r="U800" s="311">
        <f t="shared" ca="1" si="350"/>
        <v>0</v>
      </c>
      <c r="V800" s="306">
        <f t="shared" ca="1" si="351"/>
        <v>1.2258845528481956</v>
      </c>
      <c r="W800" s="304">
        <f t="shared" ca="1" si="352"/>
        <v>58.451462738683162</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2.9159247584310446</v>
      </c>
      <c r="AH800" s="304">
        <f t="shared" ca="1" si="376"/>
        <v>-6.8363878188937939</v>
      </c>
    </row>
    <row r="801" spans="1:34" x14ac:dyDescent="0.3">
      <c r="A801" s="347">
        <f t="shared" ca="1" si="354"/>
        <v>1E-4</v>
      </c>
      <c r="B801" s="304">
        <f t="shared" ca="1" si="355"/>
        <v>33.12860000000115</v>
      </c>
      <c r="D801" s="306">
        <f t="shared" ca="1" si="356"/>
        <v>-0.7402995959196198</v>
      </c>
      <c r="E801" s="307">
        <f t="shared" ca="1" si="357"/>
        <v>-3.0137723959119196</v>
      </c>
      <c r="F801" s="304">
        <f t="shared" ca="1" si="358"/>
        <v>3.1033639080970548</v>
      </c>
      <c r="G801" s="306">
        <f t="shared" ca="1" si="359"/>
        <v>13.432146650579616</v>
      </c>
      <c r="H801" s="307">
        <f t="shared" ca="1" si="360"/>
        <v>-123.31311888578152</v>
      </c>
      <c r="I801" s="304">
        <f t="shared" ca="1" si="361"/>
        <v>124.04252437362585</v>
      </c>
      <c r="J801" s="306">
        <f t="shared" ca="1" si="362"/>
        <v>764.67878961306644</v>
      </c>
      <c r="K801" s="307">
        <f t="shared" ca="1" si="363"/>
        <v>-7.2305647886247</v>
      </c>
      <c r="L801" s="304">
        <f t="shared" ca="1" si="348"/>
        <v>764.71297383480214</v>
      </c>
      <c r="M801" s="306">
        <f t="shared" ca="1" si="364"/>
        <v>-1.4622969465301188</v>
      </c>
      <c r="N801" s="304">
        <f t="shared" ca="1" si="365"/>
        <v>-83.78344343104321</v>
      </c>
      <c r="P801" s="310">
        <f t="shared" ca="1" si="366"/>
        <v>23</v>
      </c>
      <c r="Q801" s="304">
        <f t="shared" ca="1" si="367"/>
        <v>0</v>
      </c>
      <c r="R801" s="306">
        <f t="shared" ca="1" si="368"/>
        <v>0</v>
      </c>
      <c r="S801" s="307">
        <f t="shared" ca="1" si="369"/>
        <v>8.5499999999999989</v>
      </c>
      <c r="T801" s="304">
        <f t="shared" ca="1" si="349"/>
        <v>83.875499999999988</v>
      </c>
      <c r="U801" s="311">
        <f t="shared" ca="1" si="350"/>
        <v>0</v>
      </c>
      <c r="V801" s="306">
        <f t="shared" ca="1" si="351"/>
        <v>1.2258860645239538</v>
      </c>
      <c r="W801" s="304">
        <f t="shared" ca="1" si="352"/>
        <v>58.451809623675359</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2.9158850966023033</v>
      </c>
      <c r="AH801" s="304">
        <f t="shared" ca="1" si="376"/>
        <v>-6.8364283904892593</v>
      </c>
    </row>
    <row r="802" spans="1:34" x14ac:dyDescent="0.3">
      <c r="A802" s="347">
        <f t="shared" ca="1" si="354"/>
        <v>1E-4</v>
      </c>
      <c r="B802" s="304">
        <f t="shared" ca="1" si="355"/>
        <v>33.128700000001153</v>
      </c>
      <c r="D802" s="306">
        <f t="shared" ca="1" si="356"/>
        <v>-0.74029816896411327</v>
      </c>
      <c r="E802" s="307">
        <f t="shared" ca="1" si="357"/>
        <v>-3.0137314291488231</v>
      </c>
      <c r="F802" s="304">
        <f t="shared" ca="1" si="358"/>
        <v>3.1033237836247487</v>
      </c>
      <c r="G802" s="306">
        <f t="shared" ca="1" si="359"/>
        <v>13.432072620762719</v>
      </c>
      <c r="H802" s="307">
        <f t="shared" ca="1" si="360"/>
        <v>-123.31342025892444</v>
      </c>
      <c r="I802" s="304">
        <f t="shared" ca="1" si="361"/>
        <v>124.04281595821485</v>
      </c>
      <c r="J802" s="306">
        <f t="shared" ca="1" si="362"/>
        <v>764.67878961306644</v>
      </c>
      <c r="K802" s="307">
        <f t="shared" ca="1" si="363"/>
        <v>-7.2428961155819351</v>
      </c>
      <c r="L802" s="304">
        <f t="shared" ca="1" si="348"/>
        <v>764.71309053019706</v>
      </c>
      <c r="M802" s="306">
        <f t="shared" ca="1" si="364"/>
        <v>-1.4622978029213649</v>
      </c>
      <c r="N802" s="304">
        <f t="shared" ca="1" si="365"/>
        <v>-83.783492498647234</v>
      </c>
      <c r="P802" s="310">
        <f t="shared" ca="1" si="366"/>
        <v>23</v>
      </c>
      <c r="Q802" s="304">
        <f t="shared" ca="1" si="367"/>
        <v>0</v>
      </c>
      <c r="R802" s="306">
        <f t="shared" ca="1" si="368"/>
        <v>0</v>
      </c>
      <c r="S802" s="307">
        <f t="shared" ca="1" si="369"/>
        <v>8.5499999999999989</v>
      </c>
      <c r="T802" s="304">
        <f t="shared" ca="1" si="349"/>
        <v>83.875499999999988</v>
      </c>
      <c r="U802" s="311">
        <f t="shared" ca="1" si="350"/>
        <v>0</v>
      </c>
      <c r="V802" s="306">
        <f t="shared" ca="1" si="351"/>
        <v>1.2258875762052714</v>
      </c>
      <c r="W802" s="304">
        <f t="shared" ca="1" si="352"/>
        <v>58.452156506518463</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2.9158454350084666</v>
      </c>
      <c r="AH802" s="304">
        <f t="shared" ca="1" si="376"/>
        <v>-6.8364689618333765</v>
      </c>
    </row>
    <row r="803" spans="1:34" x14ac:dyDescent="0.3">
      <c r="A803" s="347">
        <f t="shared" ca="1" si="354"/>
        <v>1E-4</v>
      </c>
      <c r="B803" s="304">
        <f t="shared" ca="1" si="355"/>
        <v>33.128800000001156</v>
      </c>
      <c r="D803" s="306">
        <f t="shared" ca="1" si="356"/>
        <v>-0.74029674197120632</v>
      </c>
      <c r="E803" s="307">
        <f t="shared" ca="1" si="357"/>
        <v>-3.0136904626395395</v>
      </c>
      <c r="F803" s="304">
        <f t="shared" ca="1" si="358"/>
        <v>3.1032836594126718</v>
      </c>
      <c r="G803" s="306">
        <f t="shared" ca="1" si="359"/>
        <v>13.431998591088522</v>
      </c>
      <c r="H803" s="307">
        <f t="shared" ca="1" si="360"/>
        <v>-123.31372162797071</v>
      </c>
      <c r="I803" s="304">
        <f t="shared" ca="1" si="361"/>
        <v>124.0431075388377</v>
      </c>
      <c r="J803" s="306">
        <f t="shared" ca="1" si="362"/>
        <v>764.67878961306644</v>
      </c>
      <c r="K803" s="307">
        <f t="shared" ca="1" si="363"/>
        <v>-7.25522747267628</v>
      </c>
      <c r="L803" s="304">
        <f t="shared" ca="1" si="348"/>
        <v>764.71320742470812</v>
      </c>
      <c r="M803" s="306">
        <f t="shared" ca="1" si="364"/>
        <v>-1.4622986593038649</v>
      </c>
      <c r="N803" s="304">
        <f t="shared" ca="1" si="365"/>
        <v>-83.783541565750127</v>
      </c>
      <c r="P803" s="310">
        <f t="shared" ca="1" si="366"/>
        <v>23</v>
      </c>
      <c r="Q803" s="304">
        <f t="shared" ca="1" si="367"/>
        <v>0</v>
      </c>
      <c r="R803" s="306">
        <f t="shared" ca="1" si="368"/>
        <v>0</v>
      </c>
      <c r="S803" s="307">
        <f t="shared" ca="1" si="369"/>
        <v>8.5499999999999989</v>
      </c>
      <c r="T803" s="304">
        <f t="shared" ca="1" si="349"/>
        <v>83.875499999999988</v>
      </c>
      <c r="U803" s="311">
        <f t="shared" ca="1" si="350"/>
        <v>0</v>
      </c>
      <c r="V803" s="306">
        <f t="shared" ca="1" si="351"/>
        <v>1.225889087892148</v>
      </c>
      <c r="W803" s="304">
        <f t="shared" ca="1" si="352"/>
        <v>58.452503387212424</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2.9158057736495433</v>
      </c>
      <c r="AH803" s="304">
        <f t="shared" ca="1" si="376"/>
        <v>-6.8365095329261365</v>
      </c>
    </row>
    <row r="804" spans="1:34" x14ac:dyDescent="0.3">
      <c r="A804" s="347">
        <f t="shared" ca="1" si="354"/>
        <v>1E-4</v>
      </c>
      <c r="B804" s="304">
        <f t="shared" ca="1" si="355"/>
        <v>33.12890000000116</v>
      </c>
      <c r="D804" s="306">
        <f t="shared" ca="1" si="356"/>
        <v>-0.74029531494089851</v>
      </c>
      <c r="E804" s="307">
        <f t="shared" ca="1" si="357"/>
        <v>-3.0136494963840743</v>
      </c>
      <c r="F804" s="304">
        <f t="shared" ca="1" si="358"/>
        <v>3.1032435354608294</v>
      </c>
      <c r="G804" s="306">
        <f t="shared" ca="1" si="359"/>
        <v>13.431924561557029</v>
      </c>
      <c r="H804" s="307">
        <f t="shared" ca="1" si="360"/>
        <v>-123.31402299292034</v>
      </c>
      <c r="I804" s="304">
        <f t="shared" ca="1" si="361"/>
        <v>124.04339911549444</v>
      </c>
      <c r="J804" s="306">
        <f t="shared" ca="1" si="362"/>
        <v>764.67878961306644</v>
      </c>
      <c r="K804" s="307">
        <f t="shared" ca="1" si="363"/>
        <v>-7.2675588599073242</v>
      </c>
      <c r="L804" s="304">
        <f t="shared" ca="1" si="348"/>
        <v>764.71332451833644</v>
      </c>
      <c r="M804" s="306">
        <f t="shared" ca="1" si="364"/>
        <v>-1.4622995156776191</v>
      </c>
      <c r="N804" s="304">
        <f t="shared" ca="1" si="365"/>
        <v>-83.783590632351931</v>
      </c>
      <c r="P804" s="310">
        <f t="shared" ca="1" si="366"/>
        <v>23</v>
      </c>
      <c r="Q804" s="304">
        <f t="shared" ca="1" si="367"/>
        <v>0</v>
      </c>
      <c r="R804" s="306">
        <f t="shared" ca="1" si="368"/>
        <v>0</v>
      </c>
      <c r="S804" s="307">
        <f t="shared" ca="1" si="369"/>
        <v>8.5499999999999989</v>
      </c>
      <c r="T804" s="304">
        <f t="shared" ca="1" si="349"/>
        <v>83.875499999999988</v>
      </c>
      <c r="U804" s="311">
        <f t="shared" ca="1" si="350"/>
        <v>0</v>
      </c>
      <c r="V804" s="306">
        <f t="shared" ca="1" si="351"/>
        <v>1.2258905995845839</v>
      </c>
      <c r="W804" s="304">
        <f t="shared" ca="1" si="352"/>
        <v>58.452850265757263</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2.915766112525537</v>
      </c>
      <c r="AH804" s="304">
        <f t="shared" ca="1" si="376"/>
        <v>-6.8365501037675358</v>
      </c>
    </row>
    <row r="805" spans="1:34" x14ac:dyDescent="0.3">
      <c r="A805" s="347">
        <f t="shared" ca="1" si="354"/>
        <v>1E-4</v>
      </c>
      <c r="B805" s="304">
        <f t="shared" ca="1" si="355"/>
        <v>33.129000000001163</v>
      </c>
      <c r="D805" s="306">
        <f t="shared" ca="1" si="356"/>
        <v>-0.7402938878731905</v>
      </c>
      <c r="E805" s="307">
        <f t="shared" ca="1" si="357"/>
        <v>-3.0136085303824238</v>
      </c>
      <c r="F805" s="304">
        <f t="shared" ca="1" si="358"/>
        <v>3.103203411769218</v>
      </c>
      <c r="G805" s="306">
        <f t="shared" ca="1" si="359"/>
        <v>13.431850532168241</v>
      </c>
      <c r="H805" s="307">
        <f t="shared" ca="1" si="360"/>
        <v>-123.31432435377339</v>
      </c>
      <c r="I805" s="304">
        <f t="shared" ca="1" si="361"/>
        <v>124.04369068818509</v>
      </c>
      <c r="J805" s="306">
        <f t="shared" ca="1" si="362"/>
        <v>764.67878961306644</v>
      </c>
      <c r="K805" s="307">
        <f t="shared" ca="1" si="363"/>
        <v>-7.2798902772746592</v>
      </c>
      <c r="L805" s="304">
        <f t="shared" ca="1" si="348"/>
        <v>764.7134418110835</v>
      </c>
      <c r="M805" s="306">
        <f t="shared" ca="1" si="364"/>
        <v>-1.4623003720426275</v>
      </c>
      <c r="N805" s="304">
        <f t="shared" ca="1" si="365"/>
        <v>-83.783639698452632</v>
      </c>
      <c r="P805" s="310">
        <f t="shared" ca="1" si="366"/>
        <v>23</v>
      </c>
      <c r="Q805" s="304">
        <f t="shared" ca="1" si="367"/>
        <v>0</v>
      </c>
      <c r="R805" s="306">
        <f t="shared" ca="1" si="368"/>
        <v>0</v>
      </c>
      <c r="S805" s="307">
        <f t="shared" ca="1" si="369"/>
        <v>8.5499999999999989</v>
      </c>
      <c r="T805" s="304">
        <f t="shared" ca="1" si="349"/>
        <v>83.875499999999988</v>
      </c>
      <c r="U805" s="311">
        <f t="shared" ca="1" si="350"/>
        <v>0</v>
      </c>
      <c r="V805" s="306">
        <f t="shared" ca="1" si="351"/>
        <v>1.2258921112825787</v>
      </c>
      <c r="W805" s="304">
        <f t="shared" ca="1" si="352"/>
        <v>58.453197142152966</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2.9157264516364503</v>
      </c>
      <c r="AH805" s="304">
        <f t="shared" ca="1" si="376"/>
        <v>-6.8365906743575753</v>
      </c>
    </row>
    <row r="806" spans="1:34" x14ac:dyDescent="0.3">
      <c r="A806" s="347">
        <f t="shared" ca="1" si="354"/>
        <v>1E-4</v>
      </c>
      <c r="B806" s="304">
        <f t="shared" ca="1" si="355"/>
        <v>33.129100000001166</v>
      </c>
      <c r="D806" s="306">
        <f t="shared" ca="1" si="356"/>
        <v>-0.74029246076808208</v>
      </c>
      <c r="E806" s="307">
        <f t="shared" ca="1" si="357"/>
        <v>-3.0135675646345907</v>
      </c>
      <c r="F806" s="304">
        <f t="shared" ca="1" si="358"/>
        <v>3.1031632883378406</v>
      </c>
      <c r="G806" s="306">
        <f t="shared" ca="1" si="359"/>
        <v>13.431776502922164</v>
      </c>
      <c r="H806" s="307">
        <f t="shared" ca="1" si="360"/>
        <v>-123.31462571052985</v>
      </c>
      <c r="I806" s="304">
        <f t="shared" ca="1" si="361"/>
        <v>124.04398225690967</v>
      </c>
      <c r="J806" s="306">
        <f t="shared" ca="1" si="362"/>
        <v>764.67878961306644</v>
      </c>
      <c r="K806" s="307">
        <f t="shared" ca="1" si="363"/>
        <v>-7.2922217247778747</v>
      </c>
      <c r="L806" s="304">
        <f t="shared" ca="1" si="348"/>
        <v>764.71355930295078</v>
      </c>
      <c r="M806" s="306">
        <f t="shared" ca="1" si="364"/>
        <v>-1.4623012283988903</v>
      </c>
      <c r="N806" s="304">
        <f t="shared" ca="1" si="365"/>
        <v>-83.783688764052258</v>
      </c>
      <c r="P806" s="310">
        <f t="shared" ca="1" si="366"/>
        <v>23</v>
      </c>
      <c r="Q806" s="304">
        <f t="shared" ca="1" si="367"/>
        <v>0</v>
      </c>
      <c r="R806" s="306">
        <f t="shared" ca="1" si="368"/>
        <v>0</v>
      </c>
      <c r="S806" s="307">
        <f t="shared" ca="1" si="369"/>
        <v>8.5499999999999989</v>
      </c>
      <c r="T806" s="304">
        <f t="shared" ca="1" si="349"/>
        <v>83.875499999999988</v>
      </c>
      <c r="U806" s="311">
        <f t="shared" ca="1" si="350"/>
        <v>0</v>
      </c>
      <c r="V806" s="306">
        <f t="shared" ca="1" si="351"/>
        <v>1.2258936229861332</v>
      </c>
      <c r="W806" s="304">
        <f t="shared" ca="1" si="352"/>
        <v>58.453544016399519</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2.9156867909822806</v>
      </c>
      <c r="AH806" s="304">
        <f t="shared" ca="1" si="376"/>
        <v>-6.8366312446962541</v>
      </c>
    </row>
    <row r="807" spans="1:34" x14ac:dyDescent="0.3">
      <c r="A807" s="347">
        <f t="shared" ca="1" si="354"/>
        <v>1E-4</v>
      </c>
      <c r="B807" s="304">
        <f t="shared" ca="1" si="355"/>
        <v>33.12920000000117</v>
      </c>
      <c r="D807" s="306">
        <f t="shared" ca="1" si="356"/>
        <v>-0.74029103362557491</v>
      </c>
      <c r="E807" s="307">
        <f t="shared" ca="1" si="357"/>
        <v>-3.0135265991405769</v>
      </c>
      <c r="F807" s="304">
        <f t="shared" ca="1" si="358"/>
        <v>3.1031231651666991</v>
      </c>
      <c r="G807" s="306">
        <f t="shared" ca="1" si="359"/>
        <v>13.431702473818801</v>
      </c>
      <c r="H807" s="307">
        <f t="shared" ca="1" si="360"/>
        <v>-123.31492706318977</v>
      </c>
      <c r="I807" s="304">
        <f t="shared" ca="1" si="361"/>
        <v>124.04427382166821</v>
      </c>
      <c r="J807" s="306">
        <f t="shared" ca="1" si="362"/>
        <v>764.67878961306644</v>
      </c>
      <c r="K807" s="307">
        <f t="shared" ca="1" si="363"/>
        <v>-7.3045532024165603</v>
      </c>
      <c r="L807" s="304">
        <f t="shared" ca="1" si="348"/>
        <v>764.71367699393954</v>
      </c>
      <c r="M807" s="306">
        <f t="shared" ca="1" si="364"/>
        <v>-1.4623020847464074</v>
      </c>
      <c r="N807" s="304">
        <f t="shared" ca="1" si="365"/>
        <v>-83.78373782915078</v>
      </c>
      <c r="P807" s="310">
        <f t="shared" ca="1" si="366"/>
        <v>23</v>
      </c>
      <c r="Q807" s="304">
        <f t="shared" ca="1" si="367"/>
        <v>0</v>
      </c>
      <c r="R807" s="306">
        <f t="shared" ca="1" si="368"/>
        <v>0</v>
      </c>
      <c r="S807" s="307">
        <f t="shared" ca="1" si="369"/>
        <v>8.5499999999999989</v>
      </c>
      <c r="T807" s="304">
        <f t="shared" ca="1" si="349"/>
        <v>83.875499999999988</v>
      </c>
      <c r="U807" s="311">
        <f t="shared" ca="1" si="350"/>
        <v>0</v>
      </c>
      <c r="V807" s="306">
        <f t="shared" ca="1" si="351"/>
        <v>1.2258951346952462</v>
      </c>
      <c r="W807" s="304">
        <f t="shared" ca="1" si="352"/>
        <v>58.453890888496893</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2.9156471305630314</v>
      </c>
      <c r="AH807" s="304">
        <f t="shared" ca="1" si="376"/>
        <v>-6.8366718147835703</v>
      </c>
    </row>
    <row r="808" spans="1:34" x14ac:dyDescent="0.3">
      <c r="A808" s="347">
        <f t="shared" ca="1" si="354"/>
        <v>1E-4</v>
      </c>
      <c r="B808" s="304">
        <f t="shared" ca="1" si="355"/>
        <v>33.129300000001173</v>
      </c>
      <c r="D808" s="306">
        <f t="shared" ca="1" si="356"/>
        <v>-0.74028960644567032</v>
      </c>
      <c r="E808" s="307">
        <f t="shared" ca="1" si="357"/>
        <v>-3.0134856339003857</v>
      </c>
      <c r="F808" s="304">
        <f t="shared" ca="1" si="358"/>
        <v>3.1030830422557973</v>
      </c>
      <c r="G808" s="306">
        <f t="shared" ca="1" si="359"/>
        <v>13.431628444858156</v>
      </c>
      <c r="H808" s="307">
        <f t="shared" ca="1" si="360"/>
        <v>-123.31522841175317</v>
      </c>
      <c r="I808" s="304">
        <f t="shared" ca="1" si="361"/>
        <v>124.04456538246075</v>
      </c>
      <c r="J808" s="306">
        <f t="shared" ca="1" si="362"/>
        <v>764.67878961306644</v>
      </c>
      <c r="K808" s="307">
        <f t="shared" ca="1" si="363"/>
        <v>-7.3168847101903074</v>
      </c>
      <c r="L808" s="304">
        <f t="shared" ca="1" si="348"/>
        <v>764.71379488405103</v>
      </c>
      <c r="M808" s="306">
        <f t="shared" ca="1" si="364"/>
        <v>-1.4623029410851796</v>
      </c>
      <c r="N808" s="304">
        <f t="shared" ca="1" si="365"/>
        <v>-83.783786893748257</v>
      </c>
      <c r="P808" s="310">
        <f t="shared" ca="1" si="366"/>
        <v>23</v>
      </c>
      <c r="Q808" s="304">
        <f t="shared" ca="1" si="367"/>
        <v>0</v>
      </c>
      <c r="R808" s="306">
        <f t="shared" ca="1" si="368"/>
        <v>0</v>
      </c>
      <c r="S808" s="307">
        <f t="shared" ca="1" si="369"/>
        <v>8.5499999999999989</v>
      </c>
      <c r="T808" s="304">
        <f t="shared" ca="1" si="349"/>
        <v>83.875499999999988</v>
      </c>
      <c r="U808" s="311">
        <f t="shared" ca="1" si="350"/>
        <v>0</v>
      </c>
      <c r="V808" s="306">
        <f t="shared" ca="1" si="351"/>
        <v>1.2258966464099188</v>
      </c>
      <c r="W808" s="304">
        <f t="shared" ca="1" si="352"/>
        <v>58.454237758445103</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2.9156074703787063</v>
      </c>
      <c r="AH808" s="304">
        <f t="shared" ca="1" si="376"/>
        <v>-6.8367123846195206</v>
      </c>
    </row>
    <row r="809" spans="1:34" x14ac:dyDescent="0.3">
      <c r="A809" s="347">
        <f t="shared" ca="1" si="354"/>
        <v>1E-4</v>
      </c>
      <c r="B809" s="304">
        <f t="shared" ca="1" si="355"/>
        <v>33.129400000001176</v>
      </c>
      <c r="D809" s="306">
        <f t="shared" ca="1" si="356"/>
        <v>-0.74028817922836565</v>
      </c>
      <c r="E809" s="307">
        <f t="shared" ca="1" si="357"/>
        <v>-3.0134446689140146</v>
      </c>
      <c r="F809" s="304">
        <f t="shared" ca="1" si="358"/>
        <v>3.1030429196051323</v>
      </c>
      <c r="G809" s="306">
        <f t="shared" ca="1" si="359"/>
        <v>13.431554416040234</v>
      </c>
      <c r="H809" s="307">
        <f t="shared" ca="1" si="360"/>
        <v>-123.31552975622006</v>
      </c>
      <c r="I809" s="304">
        <f t="shared" ca="1" si="361"/>
        <v>124.04485693928727</v>
      </c>
      <c r="J809" s="306">
        <f t="shared" ca="1" si="362"/>
        <v>764.67878961306644</v>
      </c>
      <c r="K809" s="307">
        <f t="shared" ca="1" si="363"/>
        <v>-7.3292162480987058</v>
      </c>
      <c r="L809" s="304">
        <f t="shared" ca="1" si="348"/>
        <v>764.71391297328682</v>
      </c>
      <c r="M809" s="306">
        <f t="shared" ca="1" si="364"/>
        <v>-1.4623037974152062</v>
      </c>
      <c r="N809" s="304">
        <f t="shared" ca="1" si="365"/>
        <v>-83.783835957844659</v>
      </c>
      <c r="P809" s="310">
        <f t="shared" ca="1" si="366"/>
        <v>23</v>
      </c>
      <c r="Q809" s="304">
        <f t="shared" ca="1" si="367"/>
        <v>0</v>
      </c>
      <c r="R809" s="306">
        <f t="shared" ca="1" si="368"/>
        <v>0</v>
      </c>
      <c r="S809" s="307">
        <f t="shared" ca="1" si="369"/>
        <v>8.5499999999999989</v>
      </c>
      <c r="T809" s="304">
        <f t="shared" ca="1" si="349"/>
        <v>83.875499999999988</v>
      </c>
      <c r="U809" s="311">
        <f t="shared" ca="1" si="350"/>
        <v>0</v>
      </c>
      <c r="V809" s="306">
        <f t="shared" ca="1" si="351"/>
        <v>1.22589815813015</v>
      </c>
      <c r="W809" s="304">
        <f t="shared" ca="1" si="352"/>
        <v>58.454584626244085</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2.9155678104293035</v>
      </c>
      <c r="AH809" s="304">
        <f t="shared" ca="1" si="376"/>
        <v>-6.8367529542041066</v>
      </c>
    </row>
    <row r="810" spans="1:34" x14ac:dyDescent="0.3">
      <c r="A810" s="347">
        <f t="shared" ca="1" si="354"/>
        <v>1E-4</v>
      </c>
      <c r="B810" s="304">
        <f t="shared" ca="1" si="355"/>
        <v>33.12950000000118</v>
      </c>
      <c r="D810" s="306">
        <f t="shared" ca="1" si="356"/>
        <v>-0.74028675197366467</v>
      </c>
      <c r="E810" s="307">
        <f t="shared" ca="1" si="357"/>
        <v>-3.0134037041814725</v>
      </c>
      <c r="F810" s="304">
        <f t="shared" ca="1" si="358"/>
        <v>3.1030027972147138</v>
      </c>
      <c r="G810" s="306">
        <f t="shared" ca="1" si="359"/>
        <v>13.431480387365037</v>
      </c>
      <c r="H810" s="307">
        <f t="shared" ca="1" si="360"/>
        <v>-123.31583109659047</v>
      </c>
      <c r="I810" s="304">
        <f t="shared" ca="1" si="361"/>
        <v>124.04514849214782</v>
      </c>
      <c r="J810" s="306">
        <f t="shared" ca="1" si="362"/>
        <v>764.67878961306644</v>
      </c>
      <c r="K810" s="307">
        <f t="shared" ca="1" si="363"/>
        <v>-7.3415478161413459</v>
      </c>
      <c r="L810" s="304">
        <f t="shared" ca="1" si="348"/>
        <v>764.71403126164819</v>
      </c>
      <c r="M810" s="306">
        <f t="shared" ca="1" si="364"/>
        <v>-1.4623046537364877</v>
      </c>
      <c r="N810" s="304">
        <f t="shared" ca="1" si="365"/>
        <v>-83.783885021439986</v>
      </c>
      <c r="P810" s="310">
        <f t="shared" ca="1" si="366"/>
        <v>23</v>
      </c>
      <c r="Q810" s="304">
        <f t="shared" ca="1" si="367"/>
        <v>0</v>
      </c>
      <c r="R810" s="306">
        <f t="shared" ca="1" si="368"/>
        <v>0</v>
      </c>
      <c r="S810" s="307">
        <f t="shared" ca="1" si="369"/>
        <v>8.5499999999999989</v>
      </c>
      <c r="T810" s="304">
        <f t="shared" ca="1" si="349"/>
        <v>83.875499999999988</v>
      </c>
      <c r="U810" s="311">
        <f t="shared" ca="1" si="350"/>
        <v>0</v>
      </c>
      <c r="V810" s="306">
        <f t="shared" ca="1" si="351"/>
        <v>1.2258996698559406</v>
      </c>
      <c r="W810" s="304">
        <f t="shared" ca="1" si="352"/>
        <v>58.45493149189388</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2.9155281507148327</v>
      </c>
      <c r="AH810" s="304">
        <f t="shared" ca="1" si="376"/>
        <v>-6.8367935235373203</v>
      </c>
    </row>
    <row r="811" spans="1:34" x14ac:dyDescent="0.3">
      <c r="A811" s="347">
        <f t="shared" ca="1" si="354"/>
        <v>1E-4</v>
      </c>
      <c r="B811" s="304">
        <f t="shared" ca="1" si="355"/>
        <v>33.129600000001183</v>
      </c>
      <c r="D811" s="306">
        <f t="shared" ca="1" si="356"/>
        <v>-0.74028532468156849</v>
      </c>
      <c r="E811" s="307">
        <f t="shared" ca="1" si="357"/>
        <v>-3.0133627397027531</v>
      </c>
      <c r="F811" s="304">
        <f t="shared" ca="1" si="358"/>
        <v>3.102962675084536</v>
      </c>
      <c r="G811" s="306">
        <f t="shared" ca="1" si="359"/>
        <v>13.431406358832568</v>
      </c>
      <c r="H811" s="307">
        <f t="shared" ca="1" si="360"/>
        <v>-123.31613243286444</v>
      </c>
      <c r="I811" s="304">
        <f t="shared" ca="1" si="361"/>
        <v>124.04544004104241</v>
      </c>
      <c r="J811" s="306">
        <f t="shared" ca="1" si="362"/>
        <v>764.67878961306644</v>
      </c>
      <c r="K811" s="307">
        <f t="shared" ca="1" si="363"/>
        <v>-7.3538794143178183</v>
      </c>
      <c r="L811" s="304">
        <f t="shared" ca="1" si="348"/>
        <v>764.71414974913648</v>
      </c>
      <c r="M811" s="306">
        <f t="shared" ca="1" si="364"/>
        <v>-1.4623055100490243</v>
      </c>
      <c r="N811" s="304">
        <f t="shared" ca="1" si="365"/>
        <v>-83.78393408453428</v>
      </c>
      <c r="P811" s="310">
        <f t="shared" ca="1" si="366"/>
        <v>23</v>
      </c>
      <c r="Q811" s="304">
        <f t="shared" ca="1" si="367"/>
        <v>0</v>
      </c>
      <c r="R811" s="306">
        <f t="shared" ca="1" si="368"/>
        <v>0</v>
      </c>
      <c r="S811" s="307">
        <f t="shared" ca="1" si="369"/>
        <v>8.5499999999999989</v>
      </c>
      <c r="T811" s="304">
        <f t="shared" ca="1" si="349"/>
        <v>83.875499999999988</v>
      </c>
      <c r="U811" s="311">
        <f t="shared" ca="1" si="350"/>
        <v>0</v>
      </c>
      <c r="V811" s="306">
        <f t="shared" ca="1" si="351"/>
        <v>1.22590118158729</v>
      </c>
      <c r="W811" s="304">
        <f t="shared" ca="1" si="352"/>
        <v>58.455278355394448</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2.9154884912352879</v>
      </c>
      <c r="AH811" s="304">
        <f t="shared" ca="1" si="376"/>
        <v>-6.836834092619168</v>
      </c>
    </row>
    <row r="812" spans="1:34" x14ac:dyDescent="0.3">
      <c r="A812" s="347">
        <f t="shared" ca="1" si="354"/>
        <v>1E-4</v>
      </c>
      <c r="B812" s="304">
        <f t="shared" ca="1" si="355"/>
        <v>33.129700000001186</v>
      </c>
      <c r="D812" s="306">
        <f t="shared" ca="1" si="356"/>
        <v>-0.74028389735207512</v>
      </c>
      <c r="E812" s="307">
        <f t="shared" ca="1" si="357"/>
        <v>-3.0133217754778618</v>
      </c>
      <c r="F812" s="304">
        <f t="shared" ca="1" si="358"/>
        <v>3.102922553214603</v>
      </c>
      <c r="G812" s="306">
        <f t="shared" ca="1" si="359"/>
        <v>13.431332330442833</v>
      </c>
      <c r="H812" s="307">
        <f t="shared" ca="1" si="360"/>
        <v>-123.31643376504198</v>
      </c>
      <c r="I812" s="304">
        <f t="shared" ca="1" si="361"/>
        <v>124.04573158597108</v>
      </c>
      <c r="J812" s="306">
        <f t="shared" ca="1" si="362"/>
        <v>764.67878961306644</v>
      </c>
      <c r="K812" s="307">
        <f t="shared" ca="1" si="363"/>
        <v>-7.3662110426277136</v>
      </c>
      <c r="L812" s="304">
        <f t="shared" ca="1" si="348"/>
        <v>764.71426843575296</v>
      </c>
      <c r="M812" s="306">
        <f t="shared" ca="1" si="364"/>
        <v>-1.4623063663528162</v>
      </c>
      <c r="N812" s="304">
        <f t="shared" ca="1" si="365"/>
        <v>-83.783983147127543</v>
      </c>
      <c r="P812" s="310">
        <f t="shared" ca="1" si="366"/>
        <v>23</v>
      </c>
      <c r="Q812" s="304">
        <f t="shared" ca="1" si="367"/>
        <v>0</v>
      </c>
      <c r="R812" s="306">
        <f t="shared" ca="1" si="368"/>
        <v>0</v>
      </c>
      <c r="S812" s="307">
        <f t="shared" ca="1" si="369"/>
        <v>8.5499999999999989</v>
      </c>
      <c r="T812" s="304">
        <f t="shared" ca="1" si="349"/>
        <v>83.875499999999988</v>
      </c>
      <c r="U812" s="311">
        <f t="shared" ca="1" si="350"/>
        <v>0</v>
      </c>
      <c r="V812" s="306">
        <f t="shared" ca="1" si="351"/>
        <v>1.2259026933241985</v>
      </c>
      <c r="W812" s="304">
        <f t="shared" ca="1" si="352"/>
        <v>58.455625216745787</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2.9154488319906724</v>
      </c>
      <c r="AH812" s="304">
        <f t="shared" ca="1" si="376"/>
        <v>-6.8368746614496443</v>
      </c>
    </row>
    <row r="813" spans="1:34" x14ac:dyDescent="0.3">
      <c r="A813" s="347">
        <f t="shared" ca="1" si="354"/>
        <v>1E-4</v>
      </c>
      <c r="B813" s="304">
        <f t="shared" ca="1" si="355"/>
        <v>33.12980000000119</v>
      </c>
      <c r="D813" s="306">
        <f t="shared" ca="1" si="356"/>
        <v>-0.74028246998518588</v>
      </c>
      <c r="E813" s="307">
        <f t="shared" ca="1" si="357"/>
        <v>-3.0132808115068004</v>
      </c>
      <c r="F813" s="304">
        <f t="shared" ca="1" si="358"/>
        <v>3.1028824316049182</v>
      </c>
      <c r="G813" s="306">
        <f t="shared" ca="1" si="359"/>
        <v>13.431258302195834</v>
      </c>
      <c r="H813" s="307">
        <f t="shared" ca="1" si="360"/>
        <v>-123.31673509312313</v>
      </c>
      <c r="I813" s="304">
        <f t="shared" ca="1" si="361"/>
        <v>124.04602312693386</v>
      </c>
      <c r="J813" s="306">
        <f t="shared" ca="1" si="362"/>
        <v>764.67878961306644</v>
      </c>
      <c r="K813" s="307">
        <f t="shared" ca="1" si="363"/>
        <v>-7.3785427010706215</v>
      </c>
      <c r="L813" s="304">
        <f t="shared" ca="1" si="348"/>
        <v>764.71438732149909</v>
      </c>
      <c r="M813" s="306">
        <f t="shared" ca="1" si="364"/>
        <v>-1.4623072226478633</v>
      </c>
      <c r="N813" s="304">
        <f t="shared" ca="1" si="365"/>
        <v>-83.78403220921976</v>
      </c>
      <c r="P813" s="310">
        <f t="shared" ca="1" si="366"/>
        <v>23</v>
      </c>
      <c r="Q813" s="304">
        <f t="shared" ca="1" si="367"/>
        <v>0</v>
      </c>
      <c r="R813" s="306">
        <f t="shared" ca="1" si="368"/>
        <v>0</v>
      </c>
      <c r="S813" s="307">
        <f t="shared" ca="1" si="369"/>
        <v>8.5499999999999989</v>
      </c>
      <c r="T813" s="304">
        <f t="shared" ca="1" si="349"/>
        <v>83.875499999999988</v>
      </c>
      <c r="U813" s="311">
        <f t="shared" ca="1" si="350"/>
        <v>0</v>
      </c>
      <c r="V813" s="306">
        <f t="shared" ca="1" si="351"/>
        <v>1.225904205066666</v>
      </c>
      <c r="W813" s="304">
        <f t="shared" ca="1" si="352"/>
        <v>58.455972075947876</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2.9154091729809917</v>
      </c>
      <c r="AH813" s="304">
        <f t="shared" ca="1" si="376"/>
        <v>-6.8369152300287475</v>
      </c>
    </row>
    <row r="814" spans="1:34" x14ac:dyDescent="0.3">
      <c r="A814" s="347">
        <f t="shared" ca="1" si="354"/>
        <v>1E-4</v>
      </c>
      <c r="B814" s="304">
        <f t="shared" ca="1" si="355"/>
        <v>33.129900000001193</v>
      </c>
      <c r="D814" s="306">
        <f t="shared" ca="1" si="356"/>
        <v>-0.74028104258090277</v>
      </c>
      <c r="E814" s="307">
        <f t="shared" ca="1" si="357"/>
        <v>-3.013239847789567</v>
      </c>
      <c r="F814" s="304">
        <f t="shared" ca="1" si="358"/>
        <v>3.1028423102554794</v>
      </c>
      <c r="G814" s="306">
        <f t="shared" ca="1" si="359"/>
        <v>13.431184274091576</v>
      </c>
      <c r="H814" s="307">
        <f t="shared" ca="1" si="360"/>
        <v>-123.31703641710791</v>
      </c>
      <c r="I814" s="304">
        <f t="shared" ca="1" si="361"/>
        <v>124.04631466393077</v>
      </c>
      <c r="J814" s="306">
        <f t="shared" ca="1" si="362"/>
        <v>764.67878961306644</v>
      </c>
      <c r="K814" s="307">
        <f t="shared" ca="1" si="363"/>
        <v>-7.3908743896461333</v>
      </c>
      <c r="L814" s="304">
        <f t="shared" ca="1" si="348"/>
        <v>764.71450640637636</v>
      </c>
      <c r="M814" s="306">
        <f t="shared" ca="1" si="364"/>
        <v>-1.4623080789341658</v>
      </c>
      <c r="N814" s="304">
        <f t="shared" ca="1" si="365"/>
        <v>-83.784081270810944</v>
      </c>
      <c r="P814" s="310">
        <f t="shared" ca="1" si="366"/>
        <v>23</v>
      </c>
      <c r="Q814" s="304">
        <f t="shared" ca="1" si="367"/>
        <v>0</v>
      </c>
      <c r="R814" s="306">
        <f t="shared" ca="1" si="368"/>
        <v>0</v>
      </c>
      <c r="S814" s="307">
        <f t="shared" ca="1" si="369"/>
        <v>8.5499999999999989</v>
      </c>
      <c r="T814" s="304">
        <f t="shared" ca="1" si="349"/>
        <v>83.875499999999988</v>
      </c>
      <c r="U814" s="311">
        <f t="shared" ca="1" si="350"/>
        <v>0</v>
      </c>
      <c r="V814" s="306">
        <f t="shared" ca="1" si="351"/>
        <v>1.2259057168146923</v>
      </c>
      <c r="W814" s="304">
        <f t="shared" ca="1" si="352"/>
        <v>58.45631893300073</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2.9153695142062457</v>
      </c>
      <c r="AH814" s="304">
        <f t="shared" ca="1" si="376"/>
        <v>-6.8369557983564775</v>
      </c>
    </row>
    <row r="815" spans="1:34" x14ac:dyDescent="0.3">
      <c r="A815" s="347">
        <f t="shared" ca="1" si="354"/>
        <v>1E-4</v>
      </c>
      <c r="B815" s="304">
        <f t="shared" ca="1" si="355"/>
        <v>33.130000000001196</v>
      </c>
      <c r="D815" s="306">
        <f t="shared" ca="1" si="356"/>
        <v>-0.74027961513922602</v>
      </c>
      <c r="E815" s="307">
        <f t="shared" ca="1" si="357"/>
        <v>-3.0131988843261643</v>
      </c>
      <c r="F815" s="304">
        <f t="shared" ca="1" si="358"/>
        <v>3.1028021891662902</v>
      </c>
      <c r="G815" s="306">
        <f t="shared" ca="1" si="359"/>
        <v>13.431110246130062</v>
      </c>
      <c r="H815" s="307">
        <f t="shared" ca="1" si="360"/>
        <v>-123.31733773699635</v>
      </c>
      <c r="I815" s="304">
        <f t="shared" ca="1" si="361"/>
        <v>124.04660619696182</v>
      </c>
      <c r="J815" s="306">
        <f t="shared" ca="1" si="362"/>
        <v>764.67878961306644</v>
      </c>
      <c r="K815" s="307">
        <f t="shared" ca="1" si="363"/>
        <v>-7.4032061083538387</v>
      </c>
      <c r="L815" s="304">
        <f t="shared" ca="1" si="348"/>
        <v>764.71462569038601</v>
      </c>
      <c r="M815" s="306">
        <f t="shared" ca="1" si="364"/>
        <v>-1.462308935211724</v>
      </c>
      <c r="N815" s="304">
        <f t="shared" ca="1" si="365"/>
        <v>-83.784130331901125</v>
      </c>
      <c r="P815" s="310">
        <f t="shared" ca="1" si="366"/>
        <v>23</v>
      </c>
      <c r="Q815" s="304">
        <f t="shared" ca="1" si="367"/>
        <v>0</v>
      </c>
      <c r="R815" s="306">
        <f t="shared" ca="1" si="368"/>
        <v>0</v>
      </c>
      <c r="S815" s="307">
        <f t="shared" ca="1" si="369"/>
        <v>8.5499999999999989</v>
      </c>
      <c r="T815" s="304">
        <f t="shared" ca="1" si="349"/>
        <v>83.875499999999988</v>
      </c>
      <c r="U815" s="311">
        <f t="shared" ca="1" si="350"/>
        <v>0</v>
      </c>
      <c r="V815" s="306">
        <f t="shared" ca="1" si="351"/>
        <v>1.2259072285682773</v>
      </c>
      <c r="W815" s="304">
        <f t="shared" ca="1" si="352"/>
        <v>58.456665787904278</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2.91532985566643</v>
      </c>
      <c r="AH815" s="304">
        <f t="shared" ca="1" si="376"/>
        <v>-6.8369963664328353</v>
      </c>
    </row>
    <row r="816" spans="1:34" x14ac:dyDescent="0.3">
      <c r="A816" s="347">
        <f t="shared" ca="1" si="354"/>
        <v>1E-4</v>
      </c>
      <c r="B816" s="304">
        <f t="shared" ca="1" si="355"/>
        <v>33.1301000000012</v>
      </c>
      <c r="D816" s="306">
        <f t="shared" ca="1" si="356"/>
        <v>-0.74027818766015463</v>
      </c>
      <c r="E816" s="307">
        <f t="shared" ca="1" si="357"/>
        <v>-3.0131579211165986</v>
      </c>
      <c r="F816" s="304">
        <f t="shared" ca="1" si="358"/>
        <v>3.1027620683373556</v>
      </c>
      <c r="G816" s="306">
        <f t="shared" ca="1" si="359"/>
        <v>13.431036218311297</v>
      </c>
      <c r="H816" s="307">
        <f t="shared" ca="1" si="360"/>
        <v>-123.31763905278846</v>
      </c>
      <c r="I816" s="304">
        <f t="shared" ca="1" si="361"/>
        <v>124.04689772602703</v>
      </c>
      <c r="J816" s="306">
        <f t="shared" ca="1" si="362"/>
        <v>764.67878961306644</v>
      </c>
      <c r="K816" s="307">
        <f t="shared" ca="1" si="363"/>
        <v>-7.4155378571933284</v>
      </c>
      <c r="L816" s="304">
        <f t="shared" ca="1" si="348"/>
        <v>764.7147451735292</v>
      </c>
      <c r="M816" s="306">
        <f t="shared" ca="1" si="364"/>
        <v>-1.4623097914805379</v>
      </c>
      <c r="N816" s="304">
        <f t="shared" ca="1" si="365"/>
        <v>-83.784179392490287</v>
      </c>
      <c r="P816" s="310">
        <f t="shared" ca="1" si="366"/>
        <v>23</v>
      </c>
      <c r="Q816" s="304">
        <f t="shared" ca="1" si="367"/>
        <v>0</v>
      </c>
      <c r="R816" s="306">
        <f t="shared" ca="1" si="368"/>
        <v>0</v>
      </c>
      <c r="S816" s="307">
        <f t="shared" ca="1" si="369"/>
        <v>8.5499999999999989</v>
      </c>
      <c r="T816" s="304">
        <f t="shared" ca="1" si="349"/>
        <v>83.875499999999988</v>
      </c>
      <c r="U816" s="311">
        <f t="shared" ca="1" si="350"/>
        <v>0</v>
      </c>
      <c r="V816" s="306">
        <f t="shared" ca="1" si="351"/>
        <v>1.2259087403274211</v>
      </c>
      <c r="W816" s="304">
        <f t="shared" ca="1" si="352"/>
        <v>58.457012640658547</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2.9152901973615579</v>
      </c>
      <c r="AH816" s="304">
        <f t="shared" ca="1" si="376"/>
        <v>-6.837036934257811</v>
      </c>
    </row>
    <row r="817" spans="1:34" x14ac:dyDescent="0.3">
      <c r="A817" s="347">
        <f t="shared" ca="1" si="354"/>
        <v>1E-4</v>
      </c>
      <c r="B817" s="304">
        <f t="shared" ca="1" si="355"/>
        <v>33.130200000001203</v>
      </c>
      <c r="D817" s="306">
        <f t="shared" ca="1" si="356"/>
        <v>-0.74027676014369104</v>
      </c>
      <c r="E817" s="307">
        <f t="shared" ca="1" si="357"/>
        <v>-3.0131169581608672</v>
      </c>
      <c r="F817" s="304">
        <f t="shared" ca="1" si="358"/>
        <v>3.1027219477686745</v>
      </c>
      <c r="G817" s="306">
        <f t="shared" ca="1" si="359"/>
        <v>13.430962190635283</v>
      </c>
      <c r="H817" s="307">
        <f t="shared" ca="1" si="360"/>
        <v>-123.31794036448429</v>
      </c>
      <c r="I817" s="304">
        <f t="shared" ca="1" si="361"/>
        <v>124.04718925112644</v>
      </c>
      <c r="J817" s="306">
        <f t="shared" ca="1" si="362"/>
        <v>764.67878961306644</v>
      </c>
      <c r="K817" s="307">
        <f t="shared" ca="1" si="363"/>
        <v>-7.4278696361641918</v>
      </c>
      <c r="L817" s="304">
        <f t="shared" ca="1" si="348"/>
        <v>764.71486485580772</v>
      </c>
      <c r="M817" s="306">
        <f t="shared" ca="1" si="364"/>
        <v>-1.4623106477406078</v>
      </c>
      <c r="N817" s="304">
        <f t="shared" ca="1" si="365"/>
        <v>-83.784228452578461</v>
      </c>
      <c r="P817" s="310">
        <f t="shared" ca="1" si="366"/>
        <v>23</v>
      </c>
      <c r="Q817" s="304">
        <f t="shared" ca="1" si="367"/>
        <v>0</v>
      </c>
      <c r="R817" s="306">
        <f t="shared" ca="1" si="368"/>
        <v>0</v>
      </c>
      <c r="S817" s="307">
        <f t="shared" ca="1" si="369"/>
        <v>8.5499999999999989</v>
      </c>
      <c r="T817" s="304">
        <f t="shared" ca="1" si="349"/>
        <v>83.875499999999988</v>
      </c>
      <c r="U817" s="311">
        <f t="shared" ca="1" si="350"/>
        <v>0</v>
      </c>
      <c r="V817" s="306">
        <f t="shared" ca="1" si="351"/>
        <v>1.2259102520921241</v>
      </c>
      <c r="W817" s="304">
        <f t="shared" ca="1" si="352"/>
        <v>58.457359491263517</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2.9152505392916259</v>
      </c>
      <c r="AH817" s="304">
        <f t="shared" ca="1" si="376"/>
        <v>-6.8370775018314101</v>
      </c>
    </row>
    <row r="818" spans="1:34" x14ac:dyDescent="0.3">
      <c r="A818" s="347">
        <f t="shared" ca="1" si="354"/>
        <v>1E-4</v>
      </c>
      <c r="B818" s="304">
        <f t="shared" ca="1" si="355"/>
        <v>33.130300000001206</v>
      </c>
      <c r="D818" s="306">
        <f t="shared" ca="1" si="356"/>
        <v>-0.74027533258983347</v>
      </c>
      <c r="E818" s="307">
        <f t="shared" ca="1" si="357"/>
        <v>-3.013075995458971</v>
      </c>
      <c r="F818" s="304">
        <f t="shared" ca="1" si="358"/>
        <v>3.102681827460247</v>
      </c>
      <c r="G818" s="306">
        <f t="shared" ca="1" si="359"/>
        <v>13.430888163102024</v>
      </c>
      <c r="H818" s="307">
        <f t="shared" ca="1" si="360"/>
        <v>-123.31824167208383</v>
      </c>
      <c r="I818" s="304">
        <f t="shared" ca="1" si="361"/>
        <v>124.04748077226004</v>
      </c>
      <c r="J818" s="306">
        <f t="shared" ca="1" si="362"/>
        <v>764.67878961306644</v>
      </c>
      <c r="K818" s="307">
        <f t="shared" ca="1" si="363"/>
        <v>-7.4402014452660206</v>
      </c>
      <c r="L818" s="304">
        <f t="shared" ca="1" si="348"/>
        <v>764.71498473722249</v>
      </c>
      <c r="M818" s="306">
        <f t="shared" ca="1" si="364"/>
        <v>-1.4623115039919334</v>
      </c>
      <c r="N818" s="304">
        <f t="shared" ca="1" si="365"/>
        <v>-83.784277512165616</v>
      </c>
      <c r="P818" s="310">
        <f t="shared" ca="1" si="366"/>
        <v>23</v>
      </c>
      <c r="Q818" s="304">
        <f t="shared" ca="1" si="367"/>
        <v>0</v>
      </c>
      <c r="R818" s="306">
        <f t="shared" ca="1" si="368"/>
        <v>0</v>
      </c>
      <c r="S818" s="307">
        <f t="shared" ca="1" si="369"/>
        <v>8.5499999999999989</v>
      </c>
      <c r="T818" s="304">
        <f t="shared" ca="1" si="349"/>
        <v>83.875499999999988</v>
      </c>
      <c r="U818" s="311">
        <f t="shared" ca="1" si="350"/>
        <v>0</v>
      </c>
      <c r="V818" s="306">
        <f t="shared" ca="1" si="351"/>
        <v>1.2259117638623853</v>
      </c>
      <c r="W818" s="304">
        <f t="shared" ca="1" si="352"/>
        <v>58.457706339719145</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2.9152108814566375</v>
      </c>
      <c r="AH818" s="304">
        <f t="shared" ca="1" si="376"/>
        <v>-6.8371180691536289</v>
      </c>
    </row>
    <row r="819" spans="1:34" x14ac:dyDescent="0.3">
      <c r="A819" s="347">
        <f t="shared" ca="1" si="354"/>
        <v>1E-4</v>
      </c>
      <c r="B819" s="304">
        <f t="shared" ca="1" si="355"/>
        <v>33.13040000000121</v>
      </c>
      <c r="D819" s="306">
        <f t="shared" ca="1" si="356"/>
        <v>-0.74027390499858614</v>
      </c>
      <c r="E819" s="307">
        <f t="shared" ca="1" si="357"/>
        <v>-3.0130350330109188</v>
      </c>
      <c r="F819" s="304">
        <f t="shared" ca="1" si="358"/>
        <v>3.1026417074120829</v>
      </c>
      <c r="G819" s="306">
        <f t="shared" ca="1" si="359"/>
        <v>13.430814135711524</v>
      </c>
      <c r="H819" s="307">
        <f t="shared" ca="1" si="360"/>
        <v>-123.31854297558714</v>
      </c>
      <c r="I819" s="304">
        <f t="shared" ca="1" si="361"/>
        <v>124.04777228942791</v>
      </c>
      <c r="J819" s="306">
        <f t="shared" ca="1" si="362"/>
        <v>764.67878961306644</v>
      </c>
      <c r="K819" s="307">
        <f t="shared" ca="1" si="363"/>
        <v>-7.4525332844984042</v>
      </c>
      <c r="L819" s="304">
        <f t="shared" ca="1" si="348"/>
        <v>764.71510481777523</v>
      </c>
      <c r="M819" s="306">
        <f t="shared" ca="1" si="364"/>
        <v>-1.4623123602345154</v>
      </c>
      <c r="N819" s="304">
        <f t="shared" ca="1" si="365"/>
        <v>-83.78432657125181</v>
      </c>
      <c r="P819" s="310">
        <f t="shared" ca="1" si="366"/>
        <v>23</v>
      </c>
      <c r="Q819" s="304">
        <f t="shared" ca="1" si="367"/>
        <v>0</v>
      </c>
      <c r="R819" s="306">
        <f t="shared" ca="1" si="368"/>
        <v>0</v>
      </c>
      <c r="S819" s="307">
        <f t="shared" ca="1" si="369"/>
        <v>8.5499999999999989</v>
      </c>
      <c r="T819" s="304">
        <f t="shared" ca="1" si="349"/>
        <v>83.875499999999988</v>
      </c>
      <c r="U819" s="311">
        <f t="shared" ca="1" si="350"/>
        <v>0</v>
      </c>
      <c r="V819" s="306">
        <f t="shared" ca="1" si="351"/>
        <v>1.2259132756382056</v>
      </c>
      <c r="W819" s="304">
        <f t="shared" ca="1" si="352"/>
        <v>58.458053186025467</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2.9151712238565928</v>
      </c>
      <c r="AH819" s="304">
        <f t="shared" ca="1" si="376"/>
        <v>-6.8371586362244621</v>
      </c>
    </row>
    <row r="820" spans="1:34" x14ac:dyDescent="0.3">
      <c r="A820" s="347">
        <f t="shared" ca="1" si="354"/>
        <v>1E-4</v>
      </c>
      <c r="B820" s="304">
        <f t="shared" ca="1" si="355"/>
        <v>33.130500000001213</v>
      </c>
      <c r="D820" s="306">
        <f t="shared" ca="1" si="356"/>
        <v>-0.74027247736994672</v>
      </c>
      <c r="E820" s="307">
        <f t="shared" ca="1" si="357"/>
        <v>-3.0129940708167027</v>
      </c>
      <c r="F820" s="304">
        <f t="shared" ca="1" si="358"/>
        <v>3.1026015876241742</v>
      </c>
      <c r="G820" s="306">
        <f t="shared" ca="1" si="359"/>
        <v>13.430740108463787</v>
      </c>
      <c r="H820" s="307">
        <f t="shared" ca="1" si="360"/>
        <v>-123.31884427499422</v>
      </c>
      <c r="I820" s="304">
        <f t="shared" ca="1" si="361"/>
        <v>124.04806380263004</v>
      </c>
      <c r="J820" s="306">
        <f t="shared" ca="1" si="362"/>
        <v>764.67878961306644</v>
      </c>
      <c r="K820" s="307">
        <f t="shared" ca="1" si="363"/>
        <v>-7.4648651538609334</v>
      </c>
      <c r="L820" s="304">
        <f t="shared" ca="1" si="348"/>
        <v>764.71522509746706</v>
      </c>
      <c r="M820" s="306">
        <f t="shared" ca="1" si="364"/>
        <v>-1.4623132164683537</v>
      </c>
      <c r="N820" s="304">
        <f t="shared" ca="1" si="365"/>
        <v>-83.784375629837015</v>
      </c>
      <c r="P820" s="310">
        <f t="shared" ca="1" si="366"/>
        <v>23</v>
      </c>
      <c r="Q820" s="304">
        <f t="shared" ca="1" si="367"/>
        <v>0</v>
      </c>
      <c r="R820" s="306">
        <f t="shared" ca="1" si="368"/>
        <v>0</v>
      </c>
      <c r="S820" s="307">
        <f t="shared" ca="1" si="369"/>
        <v>8.5499999999999989</v>
      </c>
      <c r="T820" s="304">
        <f t="shared" ca="1" si="349"/>
        <v>83.875499999999988</v>
      </c>
      <c r="U820" s="311">
        <f t="shared" ca="1" si="350"/>
        <v>0</v>
      </c>
      <c r="V820" s="306">
        <f t="shared" ca="1" si="351"/>
        <v>1.2259147874195844</v>
      </c>
      <c r="W820" s="304">
        <f t="shared" ca="1" si="352"/>
        <v>58.458400030182453</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2.9151315664914952</v>
      </c>
      <c r="AH820" s="304">
        <f t="shared" ca="1" si="376"/>
        <v>-6.837199203043915</v>
      </c>
    </row>
    <row r="821" spans="1:34" x14ac:dyDescent="0.3">
      <c r="A821" s="347">
        <f t="shared" ca="1" si="354"/>
        <v>1E-4</v>
      </c>
      <c r="B821" s="304">
        <f t="shared" ca="1" si="355"/>
        <v>33.130600000001216</v>
      </c>
      <c r="D821" s="306">
        <f t="shared" ca="1" si="356"/>
        <v>-0.74027104970391655</v>
      </c>
      <c r="E821" s="307">
        <f t="shared" ca="1" si="357"/>
        <v>-3.0129531088763271</v>
      </c>
      <c r="F821" s="304">
        <f t="shared" ca="1" si="358"/>
        <v>3.1025614680965248</v>
      </c>
      <c r="G821" s="306">
        <f t="shared" ca="1" si="359"/>
        <v>13.430666081358817</v>
      </c>
      <c r="H821" s="307">
        <f t="shared" ca="1" si="360"/>
        <v>-123.31914557030511</v>
      </c>
      <c r="I821" s="304">
        <f t="shared" ca="1" si="361"/>
        <v>124.04835531186644</v>
      </c>
      <c r="J821" s="306">
        <f t="shared" ca="1" si="362"/>
        <v>764.67878961306644</v>
      </c>
      <c r="K821" s="307">
        <f t="shared" ca="1" si="363"/>
        <v>-7.4771970533531986</v>
      </c>
      <c r="L821" s="304">
        <f t="shared" ca="1" si="348"/>
        <v>764.71534557629946</v>
      </c>
      <c r="M821" s="306">
        <f t="shared" ca="1" si="364"/>
        <v>-1.4623140726934483</v>
      </c>
      <c r="N821" s="304">
        <f t="shared" ca="1" si="365"/>
        <v>-83.784424687921245</v>
      </c>
      <c r="P821" s="310">
        <f t="shared" ca="1" si="366"/>
        <v>23</v>
      </c>
      <c r="Q821" s="304">
        <f t="shared" ca="1" si="367"/>
        <v>0</v>
      </c>
      <c r="R821" s="306">
        <f t="shared" ca="1" si="368"/>
        <v>0</v>
      </c>
      <c r="S821" s="307">
        <f t="shared" ca="1" si="369"/>
        <v>8.5499999999999989</v>
      </c>
      <c r="T821" s="304">
        <f t="shared" ca="1" si="349"/>
        <v>83.875499999999988</v>
      </c>
      <c r="U821" s="311">
        <f t="shared" ca="1" si="350"/>
        <v>0</v>
      </c>
      <c r="V821" s="306">
        <f t="shared" ca="1" si="351"/>
        <v>1.2259162992065225</v>
      </c>
      <c r="W821" s="304">
        <f t="shared" ca="1" si="352"/>
        <v>58.458746872190098</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2.9150919093613421</v>
      </c>
      <c r="AH821" s="304">
        <f t="shared" ca="1" si="376"/>
        <v>-6.8372397696119833</v>
      </c>
    </row>
    <row r="822" spans="1:34" x14ac:dyDescent="0.3">
      <c r="A822" s="347">
        <f t="shared" ca="1" si="354"/>
        <v>1E-4</v>
      </c>
      <c r="B822" s="304">
        <f t="shared" ca="1" si="355"/>
        <v>33.13070000000122</v>
      </c>
      <c r="D822" s="306">
        <f t="shared" ca="1" si="356"/>
        <v>-0.74026962200049728</v>
      </c>
      <c r="E822" s="307">
        <f t="shared" ca="1" si="357"/>
        <v>-3.0129121471897937</v>
      </c>
      <c r="F822" s="304">
        <f t="shared" ca="1" si="358"/>
        <v>3.1025213488291379</v>
      </c>
      <c r="G822" s="306">
        <f t="shared" ca="1" si="359"/>
        <v>13.430592054396618</v>
      </c>
      <c r="H822" s="307">
        <f t="shared" ca="1" si="360"/>
        <v>-123.31944686151984</v>
      </c>
      <c r="I822" s="304">
        <f t="shared" ca="1" si="361"/>
        <v>124.04864681713718</v>
      </c>
      <c r="J822" s="306">
        <f t="shared" ca="1" si="362"/>
        <v>764.67878961306644</v>
      </c>
      <c r="K822" s="307">
        <f t="shared" ca="1" si="363"/>
        <v>-7.4895289829747895</v>
      </c>
      <c r="L822" s="304">
        <f t="shared" ca="1" si="348"/>
        <v>764.71546625427368</v>
      </c>
      <c r="M822" s="306">
        <f t="shared" ca="1" si="364"/>
        <v>-1.4623149289097994</v>
      </c>
      <c r="N822" s="304">
        <f t="shared" ca="1" si="365"/>
        <v>-83.784473745504513</v>
      </c>
      <c r="P822" s="310">
        <f t="shared" ca="1" si="366"/>
        <v>23</v>
      </c>
      <c r="Q822" s="304">
        <f t="shared" ca="1" si="367"/>
        <v>0</v>
      </c>
      <c r="R822" s="306">
        <f t="shared" ca="1" si="368"/>
        <v>0</v>
      </c>
      <c r="S822" s="307">
        <f t="shared" ca="1" si="369"/>
        <v>8.5499999999999989</v>
      </c>
      <c r="T822" s="304">
        <f t="shared" ca="1" si="349"/>
        <v>83.875499999999988</v>
      </c>
      <c r="U822" s="311">
        <f t="shared" ca="1" si="350"/>
        <v>0</v>
      </c>
      <c r="V822" s="306">
        <f t="shared" ca="1" si="351"/>
        <v>1.2259178109990188</v>
      </c>
      <c r="W822" s="304">
        <f t="shared" ca="1" si="352"/>
        <v>58.459093712048372</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2.9150522524661389</v>
      </c>
      <c r="AH822" s="304">
        <f t="shared" ca="1" si="376"/>
        <v>-6.8372803359286669</v>
      </c>
    </row>
    <row r="823" spans="1:34" x14ac:dyDescent="0.3">
      <c r="A823" s="347">
        <f t="shared" ca="1" si="354"/>
        <v>1E-4</v>
      </c>
      <c r="B823" s="304">
        <f t="shared" ca="1" si="355"/>
        <v>33.130800000001223</v>
      </c>
      <c r="D823" s="306">
        <f t="shared" ca="1" si="356"/>
        <v>-0.74026819425968871</v>
      </c>
      <c r="E823" s="307">
        <f t="shared" ca="1" si="357"/>
        <v>-3.0128711857571053</v>
      </c>
      <c r="F823" s="304">
        <f t="shared" ca="1" si="358"/>
        <v>3.1024812298220157</v>
      </c>
      <c r="G823" s="306">
        <f t="shared" ca="1" si="359"/>
        <v>13.430518027577191</v>
      </c>
      <c r="H823" s="307">
        <f t="shared" ca="1" si="360"/>
        <v>-123.31974814863841</v>
      </c>
      <c r="I823" s="304">
        <f t="shared" ca="1" si="361"/>
        <v>124.04893831844223</v>
      </c>
      <c r="J823" s="306">
        <f t="shared" ca="1" si="362"/>
        <v>764.67878961306644</v>
      </c>
      <c r="K823" s="307">
        <f t="shared" ca="1" si="363"/>
        <v>-7.5018609427252976</v>
      </c>
      <c r="L823" s="304">
        <f t="shared" ca="1" si="348"/>
        <v>764.7155871313912</v>
      </c>
      <c r="M823" s="306">
        <f t="shared" ca="1" si="364"/>
        <v>-1.4623157851174073</v>
      </c>
      <c r="N823" s="304">
        <f t="shared" ca="1" si="365"/>
        <v>-83.784522802586835</v>
      </c>
      <c r="P823" s="310">
        <f t="shared" ca="1" si="366"/>
        <v>23</v>
      </c>
      <c r="Q823" s="304">
        <f t="shared" ca="1" si="367"/>
        <v>0</v>
      </c>
      <c r="R823" s="306">
        <f t="shared" ca="1" si="368"/>
        <v>0</v>
      </c>
      <c r="S823" s="307">
        <f t="shared" ca="1" si="369"/>
        <v>8.5499999999999989</v>
      </c>
      <c r="T823" s="304">
        <f t="shared" ca="1" si="349"/>
        <v>83.875499999999988</v>
      </c>
      <c r="U823" s="311">
        <f t="shared" ca="1" si="350"/>
        <v>0</v>
      </c>
      <c r="V823" s="306">
        <f t="shared" ca="1" si="351"/>
        <v>1.2259193227970731</v>
      </c>
      <c r="W823" s="304">
        <f t="shared" ca="1" si="352"/>
        <v>58.459440549757211</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2.9150125958058872</v>
      </c>
      <c r="AH823" s="304">
        <f t="shared" ca="1" si="376"/>
        <v>-6.8373209019939623</v>
      </c>
    </row>
    <row r="824" spans="1:34" x14ac:dyDescent="0.3">
      <c r="A824" s="347">
        <f t="shared" ca="1" si="354"/>
        <v>1E-4</v>
      </c>
      <c r="B824" s="304">
        <f t="shared" ca="1" si="355"/>
        <v>33.130900000001226</v>
      </c>
      <c r="D824" s="306">
        <f t="shared" ca="1" si="356"/>
        <v>-0.74026676648149037</v>
      </c>
      <c r="E824" s="307">
        <f t="shared" ca="1" si="357"/>
        <v>-3.0128302245782681</v>
      </c>
      <c r="F824" s="304">
        <f t="shared" ca="1" si="358"/>
        <v>3.1024411110751644</v>
      </c>
      <c r="G824" s="306">
        <f t="shared" ca="1" si="359"/>
        <v>13.430444000900543</v>
      </c>
      <c r="H824" s="307">
        <f t="shared" ca="1" si="360"/>
        <v>-123.32004943166086</v>
      </c>
      <c r="I824" s="304">
        <f t="shared" ca="1" si="361"/>
        <v>124.04922981578162</v>
      </c>
      <c r="J824" s="306">
        <f t="shared" ca="1" si="362"/>
        <v>764.67878961306644</v>
      </c>
      <c r="K824" s="307">
        <f t="shared" ca="1" si="363"/>
        <v>-7.5141929326043124</v>
      </c>
      <c r="L824" s="304">
        <f t="shared" ca="1" si="348"/>
        <v>764.71570820765328</v>
      </c>
      <c r="M824" s="306">
        <f t="shared" ca="1" si="364"/>
        <v>-1.4623166413162718</v>
      </c>
      <c r="N824" s="304">
        <f t="shared" ca="1" si="365"/>
        <v>-83.784571859168196</v>
      </c>
      <c r="P824" s="310">
        <f t="shared" ca="1" si="366"/>
        <v>23</v>
      </c>
      <c r="Q824" s="304">
        <f t="shared" ca="1" si="367"/>
        <v>0</v>
      </c>
      <c r="R824" s="306">
        <f t="shared" ca="1" si="368"/>
        <v>0</v>
      </c>
      <c r="S824" s="307">
        <f t="shared" ca="1" si="369"/>
        <v>8.5499999999999989</v>
      </c>
      <c r="T824" s="304">
        <f t="shared" ca="1" si="349"/>
        <v>83.875499999999988</v>
      </c>
      <c r="U824" s="311">
        <f t="shared" ca="1" si="350"/>
        <v>0</v>
      </c>
      <c r="V824" s="306">
        <f t="shared" ca="1" si="351"/>
        <v>1.2259208346006867</v>
      </c>
      <c r="W824" s="304">
        <f t="shared" ca="1" si="352"/>
        <v>58.45978738531668</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2.9149729393805943</v>
      </c>
      <c r="AH824" s="304">
        <f t="shared" ca="1" si="376"/>
        <v>-6.8373614678078622</v>
      </c>
    </row>
    <row r="825" spans="1:34" x14ac:dyDescent="0.3">
      <c r="A825" s="347">
        <f t="shared" ca="1" si="354"/>
        <v>1E-4</v>
      </c>
      <c r="B825" s="304">
        <f t="shared" ca="1" si="355"/>
        <v>33.131000000001229</v>
      </c>
      <c r="D825" s="306">
        <f t="shared" ca="1" si="356"/>
        <v>-0.74026533866590605</v>
      </c>
      <c r="E825" s="307">
        <f t="shared" ca="1" si="357"/>
        <v>-3.0127892636532776</v>
      </c>
      <c r="F825" s="304">
        <f t="shared" ca="1" si="358"/>
        <v>3.1024009925885805</v>
      </c>
      <c r="G825" s="306">
        <f t="shared" ca="1" si="359"/>
        <v>13.430369974366677</v>
      </c>
      <c r="H825" s="307">
        <f t="shared" ca="1" si="360"/>
        <v>-123.32035071058723</v>
      </c>
      <c r="I825" s="304">
        <f t="shared" ca="1" si="361"/>
        <v>124.04952130915542</v>
      </c>
      <c r="J825" s="306">
        <f t="shared" ca="1" si="362"/>
        <v>764.67878961306644</v>
      </c>
      <c r="K825" s="307">
        <f t="shared" ca="1" si="363"/>
        <v>-7.5265249526114246</v>
      </c>
      <c r="L825" s="304">
        <f t="shared" ca="1" si="348"/>
        <v>764.71582948306138</v>
      </c>
      <c r="M825" s="306">
        <f t="shared" ca="1" si="364"/>
        <v>-1.4623174975063935</v>
      </c>
      <c r="N825" s="304">
        <f t="shared" ca="1" si="365"/>
        <v>-83.784620915248638</v>
      </c>
      <c r="P825" s="310">
        <f t="shared" ca="1" si="366"/>
        <v>23</v>
      </c>
      <c r="Q825" s="304">
        <f t="shared" ca="1" si="367"/>
        <v>0</v>
      </c>
      <c r="R825" s="306">
        <f t="shared" ca="1" si="368"/>
        <v>0</v>
      </c>
      <c r="S825" s="307">
        <f t="shared" ca="1" si="369"/>
        <v>8.5499999999999989</v>
      </c>
      <c r="T825" s="304">
        <f t="shared" ca="1" si="349"/>
        <v>83.875499999999988</v>
      </c>
      <c r="U825" s="311">
        <f t="shared" ca="1" si="350"/>
        <v>0</v>
      </c>
      <c r="V825" s="306">
        <f t="shared" ca="1" si="351"/>
        <v>1.2259223464098585</v>
      </c>
      <c r="W825" s="304">
        <f t="shared" ca="1" si="352"/>
        <v>58.460134218726751</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2.9149332831902575</v>
      </c>
      <c r="AH825" s="304">
        <f t="shared" ca="1" si="376"/>
        <v>-6.8374020333703731</v>
      </c>
    </row>
    <row r="826" spans="1:34" x14ac:dyDescent="0.3">
      <c r="A826" s="347">
        <f t="shared" ca="1" si="354"/>
        <v>1E-4</v>
      </c>
      <c r="B826" s="304">
        <f t="shared" ca="1" si="355"/>
        <v>33.131100000001233</v>
      </c>
      <c r="D826" s="306">
        <f t="shared" ca="1" si="356"/>
        <v>-0.74026391081293264</v>
      </c>
      <c r="E826" s="307">
        <f t="shared" ca="1" si="357"/>
        <v>-3.0127483029821338</v>
      </c>
      <c r="F826" s="304">
        <f t="shared" ca="1" si="358"/>
        <v>3.102360874362263</v>
      </c>
      <c r="G826" s="306">
        <f t="shared" ca="1" si="359"/>
        <v>13.430295947975596</v>
      </c>
      <c r="H826" s="307">
        <f t="shared" ca="1" si="360"/>
        <v>-123.32065198541753</v>
      </c>
      <c r="I826" s="304">
        <f t="shared" ca="1" si="361"/>
        <v>124.04981279856361</v>
      </c>
      <c r="J826" s="306">
        <f t="shared" ca="1" si="362"/>
        <v>764.67878961306644</v>
      </c>
      <c r="K826" s="307">
        <f t="shared" ca="1" si="363"/>
        <v>-7.5388570027462247</v>
      </c>
      <c r="L826" s="304">
        <f t="shared" ca="1" si="348"/>
        <v>764.71595095761677</v>
      </c>
      <c r="M826" s="306">
        <f t="shared" ca="1" si="364"/>
        <v>-1.4623183536877722</v>
      </c>
      <c r="N826" s="304">
        <f t="shared" ca="1" si="365"/>
        <v>-83.784669970828134</v>
      </c>
      <c r="P826" s="310">
        <f t="shared" ca="1" si="366"/>
        <v>23</v>
      </c>
      <c r="Q826" s="304">
        <f t="shared" ca="1" si="367"/>
        <v>0</v>
      </c>
      <c r="R826" s="306">
        <f t="shared" ca="1" si="368"/>
        <v>0</v>
      </c>
      <c r="S826" s="307">
        <f t="shared" ca="1" si="369"/>
        <v>8.5499999999999989</v>
      </c>
      <c r="T826" s="304">
        <f t="shared" ca="1" si="349"/>
        <v>83.875499999999988</v>
      </c>
      <c r="U826" s="311">
        <f t="shared" ca="1" si="350"/>
        <v>0</v>
      </c>
      <c r="V826" s="306">
        <f t="shared" ca="1" si="351"/>
        <v>1.2259238582245888</v>
      </c>
      <c r="W826" s="304">
        <f t="shared" ca="1" si="352"/>
        <v>58.460481049987379</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2.9148936272348758</v>
      </c>
      <c r="AH826" s="304">
        <f t="shared" ca="1" si="376"/>
        <v>-6.8374425986814922</v>
      </c>
    </row>
    <row r="827" spans="1:34" x14ac:dyDescent="0.3">
      <c r="A827" s="347">
        <f t="shared" ca="1" si="354"/>
        <v>1E-4</v>
      </c>
      <c r="B827" s="304">
        <f t="shared" ca="1" si="355"/>
        <v>33.131200000001236</v>
      </c>
      <c r="D827" s="306">
        <f t="shared" ca="1" si="356"/>
        <v>-0.74026248292257302</v>
      </c>
      <c r="E827" s="307">
        <f t="shared" ca="1" si="357"/>
        <v>-3.0127073425648447</v>
      </c>
      <c r="F827" s="304">
        <f t="shared" ca="1" si="358"/>
        <v>3.102320756396221</v>
      </c>
      <c r="G827" s="306">
        <f t="shared" ca="1" si="359"/>
        <v>13.430221921727304</v>
      </c>
      <c r="H827" s="307">
        <f t="shared" ca="1" si="360"/>
        <v>-123.32095325615178</v>
      </c>
      <c r="I827" s="304">
        <f t="shared" ca="1" si="361"/>
        <v>124.05010428400621</v>
      </c>
      <c r="J827" s="306">
        <f t="shared" ca="1" si="362"/>
        <v>764.67878961306644</v>
      </c>
      <c r="K827" s="307">
        <f t="shared" ca="1" si="363"/>
        <v>-7.5511890830083033</v>
      </c>
      <c r="L827" s="304">
        <f t="shared" ca="1" si="348"/>
        <v>764.71607263132091</v>
      </c>
      <c r="M827" s="306">
        <f t="shared" ca="1" si="364"/>
        <v>-1.4623192098604083</v>
      </c>
      <c r="N827" s="304">
        <f t="shared" ca="1" si="365"/>
        <v>-83.78471902590671</v>
      </c>
      <c r="P827" s="310">
        <f t="shared" ca="1" si="366"/>
        <v>23</v>
      </c>
      <c r="Q827" s="304">
        <f t="shared" ca="1" si="367"/>
        <v>0</v>
      </c>
      <c r="R827" s="306">
        <f t="shared" ca="1" si="368"/>
        <v>0</v>
      </c>
      <c r="S827" s="307">
        <f t="shared" ca="1" si="369"/>
        <v>8.5499999999999989</v>
      </c>
      <c r="T827" s="304">
        <f t="shared" ca="1" si="349"/>
        <v>83.875499999999988</v>
      </c>
      <c r="U827" s="311">
        <f t="shared" ca="1" si="350"/>
        <v>0</v>
      </c>
      <c r="V827" s="306">
        <f t="shared" ca="1" si="351"/>
        <v>1.2259253700448778</v>
      </c>
      <c r="W827" s="304">
        <f t="shared" ca="1" si="352"/>
        <v>58.460827879098566</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2.9148539715144537</v>
      </c>
      <c r="AH827" s="304">
        <f t="shared" ca="1" si="376"/>
        <v>-6.837483163741215</v>
      </c>
    </row>
    <row r="828" spans="1:34" x14ac:dyDescent="0.3">
      <c r="A828" s="347">
        <f t="shared" ca="1" si="354"/>
        <v>1E-4</v>
      </c>
      <c r="B828" s="304">
        <f t="shared" ca="1" si="355"/>
        <v>33.131300000001239</v>
      </c>
      <c r="D828" s="306">
        <f t="shared" ca="1" si="356"/>
        <v>-0.74026105499482553</v>
      </c>
      <c r="E828" s="307">
        <f t="shared" ca="1" si="357"/>
        <v>-3.0126663824014086</v>
      </c>
      <c r="F828" s="304">
        <f t="shared" ca="1" si="358"/>
        <v>3.1022806386904525</v>
      </c>
      <c r="G828" s="306">
        <f t="shared" ca="1" si="359"/>
        <v>13.430147895621804</v>
      </c>
      <c r="H828" s="307">
        <f t="shared" ca="1" si="360"/>
        <v>-123.32125452279003</v>
      </c>
      <c r="I828" s="304">
        <f t="shared" ca="1" si="361"/>
        <v>124.05039576548329</v>
      </c>
      <c r="J828" s="306">
        <f t="shared" ca="1" si="362"/>
        <v>764.67878961306644</v>
      </c>
      <c r="K828" s="307">
        <f t="shared" ca="1" si="363"/>
        <v>-7.5635211933972499</v>
      </c>
      <c r="L828" s="304">
        <f t="shared" ca="1" si="348"/>
        <v>764.71619450417506</v>
      </c>
      <c r="M828" s="306">
        <f t="shared" ca="1" si="364"/>
        <v>-1.4623200660243014</v>
      </c>
      <c r="N828" s="304">
        <f t="shared" ca="1" si="365"/>
        <v>-83.784768080484355</v>
      </c>
      <c r="P828" s="310">
        <f t="shared" ca="1" si="366"/>
        <v>23</v>
      </c>
      <c r="Q828" s="304">
        <f t="shared" ca="1" si="367"/>
        <v>0</v>
      </c>
      <c r="R828" s="306">
        <f t="shared" ca="1" si="368"/>
        <v>0</v>
      </c>
      <c r="S828" s="307">
        <f t="shared" ca="1" si="369"/>
        <v>8.5499999999999989</v>
      </c>
      <c r="T828" s="304">
        <f t="shared" ca="1" si="349"/>
        <v>83.875499999999988</v>
      </c>
      <c r="U828" s="311">
        <f t="shared" ca="1" si="350"/>
        <v>0</v>
      </c>
      <c r="V828" s="306">
        <f t="shared" ca="1" si="351"/>
        <v>1.225926881870725</v>
      </c>
      <c r="W828" s="304">
        <f t="shared" ca="1" si="352"/>
        <v>58.461174706060319</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2.9148143160289974</v>
      </c>
      <c r="AH828" s="304">
        <f t="shared" ca="1" si="376"/>
        <v>-6.8375237285495407</v>
      </c>
    </row>
    <row r="829" spans="1:34" x14ac:dyDescent="0.3">
      <c r="A829" s="347">
        <f t="shared" ca="1" si="354"/>
        <v>1E-4</v>
      </c>
      <c r="B829" s="304">
        <f t="shared" ca="1" si="355"/>
        <v>33.131400000001243</v>
      </c>
      <c r="D829" s="306">
        <f t="shared" ca="1" si="356"/>
        <v>-0.74025962702969528</v>
      </c>
      <c r="E829" s="307">
        <f t="shared" ca="1" si="357"/>
        <v>-3.0126254224918245</v>
      </c>
      <c r="F829" s="304">
        <f t="shared" ca="1" si="358"/>
        <v>3.102240521244958</v>
      </c>
      <c r="G829" s="306">
        <f t="shared" ca="1" si="359"/>
        <v>13.4300738696591</v>
      </c>
      <c r="H829" s="307">
        <f t="shared" ca="1" si="360"/>
        <v>-123.32155578533228</v>
      </c>
      <c r="I829" s="304">
        <f t="shared" ca="1" si="361"/>
        <v>124.05068724299483</v>
      </c>
      <c r="J829" s="306">
        <f t="shared" ca="1" si="362"/>
        <v>764.67878961306644</v>
      </c>
      <c r="K829" s="307">
        <f t="shared" ca="1" si="363"/>
        <v>-7.5758533339126561</v>
      </c>
      <c r="L829" s="304">
        <f t="shared" ca="1" si="348"/>
        <v>764.71631657618059</v>
      </c>
      <c r="M829" s="306">
        <f t="shared" ca="1" si="364"/>
        <v>-1.4623209221794524</v>
      </c>
      <c r="N829" s="304">
        <f t="shared" ca="1" si="365"/>
        <v>-83.784817134561123</v>
      </c>
      <c r="P829" s="310">
        <f t="shared" ca="1" si="366"/>
        <v>23</v>
      </c>
      <c r="Q829" s="304">
        <f t="shared" ca="1" si="367"/>
        <v>0</v>
      </c>
      <c r="R829" s="306">
        <f t="shared" ca="1" si="368"/>
        <v>0</v>
      </c>
      <c r="S829" s="307">
        <f t="shared" ca="1" si="369"/>
        <v>8.5499999999999989</v>
      </c>
      <c r="T829" s="304">
        <f t="shared" ca="1" si="349"/>
        <v>83.875499999999988</v>
      </c>
      <c r="U829" s="311">
        <f t="shared" ca="1" si="350"/>
        <v>0</v>
      </c>
      <c r="V829" s="306">
        <f t="shared" ca="1" si="351"/>
        <v>1.2259283937021306</v>
      </c>
      <c r="W829" s="304">
        <f t="shared" ca="1" si="352"/>
        <v>58.461521530872602</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2.9147746607785017</v>
      </c>
      <c r="AH829" s="304">
        <f t="shared" ca="1" si="376"/>
        <v>-6.8375642931064711</v>
      </c>
    </row>
    <row r="830" spans="1:34" x14ac:dyDescent="0.3">
      <c r="A830" s="347">
        <f t="shared" ca="1" si="354"/>
        <v>1E-4</v>
      </c>
      <c r="B830" s="304">
        <f t="shared" ca="1" si="355"/>
        <v>33.131500000001246</v>
      </c>
      <c r="D830" s="306">
        <f t="shared" ca="1" si="356"/>
        <v>-0.74025819902717738</v>
      </c>
      <c r="E830" s="307">
        <f t="shared" ca="1" si="357"/>
        <v>-3.0125844628360978</v>
      </c>
      <c r="F830" s="304">
        <f t="shared" ca="1" si="358"/>
        <v>3.1022004040597411</v>
      </c>
      <c r="G830" s="306">
        <f t="shared" ca="1" si="359"/>
        <v>13.429999843839198</v>
      </c>
      <c r="H830" s="307">
        <f t="shared" ca="1" si="360"/>
        <v>-123.32185704377856</v>
      </c>
      <c r="I830" s="304">
        <f t="shared" ca="1" si="361"/>
        <v>124.05097871654088</v>
      </c>
      <c r="J830" s="306">
        <f t="shared" ca="1" si="362"/>
        <v>764.67878961306644</v>
      </c>
      <c r="K830" s="307">
        <f t="shared" ca="1" si="363"/>
        <v>-7.5881855045541116</v>
      </c>
      <c r="L830" s="304">
        <f t="shared" ca="1" si="348"/>
        <v>764.71643884733885</v>
      </c>
      <c r="M830" s="306">
        <f t="shared" ca="1" si="364"/>
        <v>-1.4623217783258609</v>
      </c>
      <c r="N830" s="304">
        <f t="shared" ca="1" si="365"/>
        <v>-83.784866188136974</v>
      </c>
      <c r="P830" s="310">
        <f t="shared" ca="1" si="366"/>
        <v>23</v>
      </c>
      <c r="Q830" s="304">
        <f t="shared" ca="1" si="367"/>
        <v>0</v>
      </c>
      <c r="R830" s="306">
        <f t="shared" ca="1" si="368"/>
        <v>0</v>
      </c>
      <c r="S830" s="307">
        <f t="shared" ca="1" si="369"/>
        <v>8.5499999999999989</v>
      </c>
      <c r="T830" s="304">
        <f t="shared" ca="1" si="349"/>
        <v>83.875499999999988</v>
      </c>
      <c r="U830" s="311">
        <f t="shared" ca="1" si="350"/>
        <v>0</v>
      </c>
      <c r="V830" s="306">
        <f t="shared" ca="1" si="351"/>
        <v>1.2259299055390946</v>
      </c>
      <c r="W830" s="304">
        <f t="shared" ca="1" si="352"/>
        <v>58.461868353535444</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2.9147350057629717</v>
      </c>
      <c r="AH830" s="304">
        <f t="shared" ca="1" si="376"/>
        <v>-6.8376048574120007</v>
      </c>
    </row>
    <row r="831" spans="1:34" x14ac:dyDescent="0.3">
      <c r="A831" s="347">
        <f t="shared" ca="1" si="354"/>
        <v>1E-4</v>
      </c>
      <c r="B831" s="304">
        <f t="shared" ca="1" si="355"/>
        <v>33.131600000001249</v>
      </c>
      <c r="D831" s="306">
        <f t="shared" ca="1" si="356"/>
        <v>-0.74025677098727694</v>
      </c>
      <c r="E831" s="307">
        <f t="shared" ca="1" si="357"/>
        <v>-3.0125435034342241</v>
      </c>
      <c r="F831" s="304">
        <f t="shared" ca="1" si="358"/>
        <v>3.1021602871347991</v>
      </c>
      <c r="G831" s="306">
        <f t="shared" ca="1" si="359"/>
        <v>13.429925818162099</v>
      </c>
      <c r="H831" s="307">
        <f t="shared" ca="1" si="360"/>
        <v>-123.32215829812891</v>
      </c>
      <c r="I831" s="304">
        <f t="shared" ca="1" si="361"/>
        <v>124.05127018612144</v>
      </c>
      <c r="J831" s="306">
        <f t="shared" ca="1" si="362"/>
        <v>764.67878961306644</v>
      </c>
      <c r="K831" s="307">
        <f t="shared" ca="1" si="363"/>
        <v>-7.6005177053212067</v>
      </c>
      <c r="L831" s="304">
        <f t="shared" ca="1" si="348"/>
        <v>764.71656131765133</v>
      </c>
      <c r="M831" s="306">
        <f t="shared" ca="1" si="364"/>
        <v>-1.4623226344635272</v>
      </c>
      <c r="N831" s="304">
        <f t="shared" ca="1" si="365"/>
        <v>-83.784915241211934</v>
      </c>
      <c r="P831" s="310">
        <f t="shared" ca="1" si="366"/>
        <v>23</v>
      </c>
      <c r="Q831" s="304">
        <f t="shared" ca="1" si="367"/>
        <v>0</v>
      </c>
      <c r="R831" s="306">
        <f t="shared" ca="1" si="368"/>
        <v>0</v>
      </c>
      <c r="S831" s="307">
        <f t="shared" ca="1" si="369"/>
        <v>8.5499999999999989</v>
      </c>
      <c r="T831" s="304">
        <f t="shared" ca="1" si="349"/>
        <v>83.875499999999988</v>
      </c>
      <c r="U831" s="311">
        <f t="shared" ca="1" si="350"/>
        <v>0</v>
      </c>
      <c r="V831" s="306">
        <f t="shared" ca="1" si="351"/>
        <v>1.2259314173816172</v>
      </c>
      <c r="W831" s="304">
        <f t="shared" ca="1" si="352"/>
        <v>58.462215174048751</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2.914695350982405</v>
      </c>
      <c r="AH831" s="304">
        <f t="shared" ca="1" si="376"/>
        <v>-6.8376454214661342</v>
      </c>
    </row>
    <row r="832" spans="1:34" x14ac:dyDescent="0.3">
      <c r="A832" s="347">
        <f t="shared" ca="1" si="354"/>
        <v>1E-4</v>
      </c>
      <c r="B832" s="304">
        <f t="shared" ca="1" si="355"/>
        <v>33.131700000001253</v>
      </c>
      <c r="D832" s="306">
        <f t="shared" ca="1" si="356"/>
        <v>-0.74025534290999162</v>
      </c>
      <c r="E832" s="307">
        <f t="shared" ca="1" si="357"/>
        <v>-3.0125025442862139</v>
      </c>
      <c r="F832" s="304">
        <f t="shared" ca="1" si="358"/>
        <v>3.1021201704701418</v>
      </c>
      <c r="G832" s="306">
        <f t="shared" ca="1" si="359"/>
        <v>13.429851792627808</v>
      </c>
      <c r="H832" s="307">
        <f t="shared" ca="1" si="360"/>
        <v>-123.32245954838334</v>
      </c>
      <c r="I832" s="304">
        <f t="shared" ca="1" si="361"/>
        <v>124.05156165173655</v>
      </c>
      <c r="J832" s="306">
        <f t="shared" ca="1" si="362"/>
        <v>764.67878961306644</v>
      </c>
      <c r="K832" s="307">
        <f t="shared" ca="1" si="363"/>
        <v>-7.6128499362135322</v>
      </c>
      <c r="L832" s="304">
        <f t="shared" ca="1" si="348"/>
        <v>764.71668398711927</v>
      </c>
      <c r="M832" s="306">
        <f t="shared" ca="1" si="364"/>
        <v>-1.4623234905924511</v>
      </c>
      <c r="N832" s="304">
        <f t="shared" ca="1" si="365"/>
        <v>-83.78496429378599</v>
      </c>
      <c r="P832" s="310">
        <f t="shared" ca="1" si="366"/>
        <v>23</v>
      </c>
      <c r="Q832" s="304">
        <f t="shared" ca="1" si="367"/>
        <v>0</v>
      </c>
      <c r="R832" s="306">
        <f t="shared" ca="1" si="368"/>
        <v>0</v>
      </c>
      <c r="S832" s="307">
        <f t="shared" ca="1" si="369"/>
        <v>8.5499999999999989</v>
      </c>
      <c r="T832" s="304">
        <f t="shared" ca="1" si="349"/>
        <v>83.875499999999988</v>
      </c>
      <c r="U832" s="311">
        <f t="shared" ca="1" si="350"/>
        <v>0</v>
      </c>
      <c r="V832" s="306">
        <f t="shared" ca="1" si="351"/>
        <v>1.2259329292296974</v>
      </c>
      <c r="W832" s="304">
        <f t="shared" ca="1" si="352"/>
        <v>58.46256199241256</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2.9146556964368138</v>
      </c>
      <c r="AH832" s="304">
        <f t="shared" ca="1" si="376"/>
        <v>-6.8376859852688607</v>
      </c>
    </row>
    <row r="833" spans="1:34" x14ac:dyDescent="0.3">
      <c r="A833" s="347">
        <f t="shared" ca="1" si="354"/>
        <v>1E-4</v>
      </c>
      <c r="B833" s="304">
        <f t="shared" ca="1" si="355"/>
        <v>33.131800000001256</v>
      </c>
      <c r="D833" s="306">
        <f t="shared" ca="1" si="356"/>
        <v>-0.74025391479532476</v>
      </c>
      <c r="E833" s="307">
        <f t="shared" ca="1" si="357"/>
        <v>-3.0124615853920647</v>
      </c>
      <c r="F833" s="304">
        <f t="shared" ca="1" si="358"/>
        <v>3.1020800540657678</v>
      </c>
      <c r="G833" s="306">
        <f t="shared" ca="1" si="359"/>
        <v>13.429777767236329</v>
      </c>
      <c r="H833" s="307">
        <f t="shared" ca="1" si="360"/>
        <v>-123.32276079454188</v>
      </c>
      <c r="I833" s="304">
        <f t="shared" ca="1" si="361"/>
        <v>124.05185311338623</v>
      </c>
      <c r="J833" s="306">
        <f t="shared" ca="1" si="362"/>
        <v>764.67878961306644</v>
      </c>
      <c r="K833" s="307">
        <f t="shared" ca="1" si="363"/>
        <v>-7.6251821972306786</v>
      </c>
      <c r="L833" s="304">
        <f t="shared" ca="1" si="348"/>
        <v>764.71680685574404</v>
      </c>
      <c r="M833" s="306">
        <f t="shared" ca="1" si="364"/>
        <v>-1.4623243467126334</v>
      </c>
      <c r="N833" s="304">
        <f t="shared" ca="1" si="365"/>
        <v>-83.785013345859198</v>
      </c>
      <c r="P833" s="310">
        <f t="shared" ca="1" si="366"/>
        <v>23</v>
      </c>
      <c r="Q833" s="304">
        <f t="shared" ca="1" si="367"/>
        <v>0</v>
      </c>
      <c r="R833" s="306">
        <f t="shared" ca="1" si="368"/>
        <v>0</v>
      </c>
      <c r="S833" s="307">
        <f t="shared" ca="1" si="369"/>
        <v>8.5499999999999989</v>
      </c>
      <c r="T833" s="304">
        <f t="shared" ca="1" si="349"/>
        <v>83.875499999999988</v>
      </c>
      <c r="U833" s="311">
        <f t="shared" ca="1" si="350"/>
        <v>0</v>
      </c>
      <c r="V833" s="306">
        <f t="shared" ca="1" si="351"/>
        <v>1.2259344410833364</v>
      </c>
      <c r="W833" s="304">
        <f t="shared" ca="1" si="352"/>
        <v>58.462908808626864</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2.914616042126192</v>
      </c>
      <c r="AH833" s="304">
        <f t="shared" ca="1" si="376"/>
        <v>-6.837726548820183</v>
      </c>
    </row>
    <row r="834" spans="1:34" x14ac:dyDescent="0.3">
      <c r="A834" s="347">
        <f t="shared" ca="1" si="354"/>
        <v>1E-4</v>
      </c>
      <c r="B834" s="304">
        <f t="shared" ca="1" si="355"/>
        <v>33.131900000001259</v>
      </c>
      <c r="D834" s="306">
        <f t="shared" ca="1" si="356"/>
        <v>-0.7402524866432737</v>
      </c>
      <c r="E834" s="307">
        <f t="shared" ca="1" si="357"/>
        <v>-3.0124206267517764</v>
      </c>
      <c r="F834" s="304">
        <f t="shared" ca="1" si="358"/>
        <v>3.1020399379216759</v>
      </c>
      <c r="G834" s="306">
        <f t="shared" ca="1" si="359"/>
        <v>13.429703741987664</v>
      </c>
      <c r="H834" s="307">
        <f t="shared" ca="1" si="360"/>
        <v>-123.32306203660455</v>
      </c>
      <c r="I834" s="304">
        <f t="shared" ca="1" si="361"/>
        <v>124.05214457107049</v>
      </c>
      <c r="J834" s="306">
        <f t="shared" ca="1" si="362"/>
        <v>764.67878961306644</v>
      </c>
      <c r="K834" s="307">
        <f t="shared" ca="1" si="363"/>
        <v>-7.6375144883722363</v>
      </c>
      <c r="L834" s="304">
        <f t="shared" ca="1" si="348"/>
        <v>764.71692992352689</v>
      </c>
      <c r="M834" s="306">
        <f t="shared" ca="1" si="364"/>
        <v>-1.4623252028240739</v>
      </c>
      <c r="N834" s="304">
        <f t="shared" ca="1" si="365"/>
        <v>-83.785062397431517</v>
      </c>
      <c r="P834" s="310">
        <f t="shared" ca="1" si="366"/>
        <v>23</v>
      </c>
      <c r="Q834" s="304">
        <f t="shared" ca="1" si="367"/>
        <v>0</v>
      </c>
      <c r="R834" s="306">
        <f t="shared" ca="1" si="368"/>
        <v>0</v>
      </c>
      <c r="S834" s="307">
        <f t="shared" ca="1" si="369"/>
        <v>8.5499999999999989</v>
      </c>
      <c r="T834" s="304">
        <f t="shared" ca="1" si="349"/>
        <v>83.875499999999988</v>
      </c>
      <c r="U834" s="311">
        <f t="shared" ca="1" si="350"/>
        <v>0</v>
      </c>
      <c r="V834" s="306">
        <f t="shared" ca="1" si="351"/>
        <v>1.2259359529425335</v>
      </c>
      <c r="W834" s="304">
        <f t="shared" ca="1" si="352"/>
        <v>58.463255622691619</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2.914576388050544</v>
      </c>
      <c r="AH834" s="304">
        <f t="shared" ca="1" si="376"/>
        <v>-6.837767112120102</v>
      </c>
    </row>
    <row r="835" spans="1:34" x14ac:dyDescent="0.3">
      <c r="A835" s="347">
        <f t="shared" ca="1" si="354"/>
        <v>1E-4</v>
      </c>
      <c r="B835" s="304">
        <f t="shared" ca="1" si="355"/>
        <v>33.132000000001263</v>
      </c>
      <c r="D835" s="306">
        <f t="shared" ca="1" si="356"/>
        <v>-0.74025105845384109</v>
      </c>
      <c r="E835" s="307">
        <f t="shared" ca="1" si="357"/>
        <v>-3.0123796683653525</v>
      </c>
      <c r="F835" s="304">
        <f t="shared" ca="1" si="358"/>
        <v>3.1019998220378708</v>
      </c>
      <c r="G835" s="306">
        <f t="shared" ca="1" si="359"/>
        <v>13.429629716881818</v>
      </c>
      <c r="H835" s="307">
        <f t="shared" ca="1" si="360"/>
        <v>-123.32336327457139</v>
      </c>
      <c r="I835" s="304">
        <f t="shared" ca="1" si="361"/>
        <v>124.05243602478937</v>
      </c>
      <c r="J835" s="306">
        <f t="shared" ca="1" si="362"/>
        <v>764.67878961306644</v>
      </c>
      <c r="K835" s="307">
        <f t="shared" ca="1" si="363"/>
        <v>-7.6498468096377952</v>
      </c>
      <c r="L835" s="304">
        <f t="shared" ca="1" si="348"/>
        <v>764.71705319046941</v>
      </c>
      <c r="M835" s="306">
        <f t="shared" ca="1" si="364"/>
        <v>-1.4623260589267726</v>
      </c>
      <c r="N835" s="304">
        <f t="shared" ca="1" si="365"/>
        <v>-83.785111448502988</v>
      </c>
      <c r="P835" s="310">
        <f t="shared" ca="1" si="366"/>
        <v>23</v>
      </c>
      <c r="Q835" s="304">
        <f t="shared" ca="1" si="367"/>
        <v>0</v>
      </c>
      <c r="R835" s="306">
        <f t="shared" ca="1" si="368"/>
        <v>0</v>
      </c>
      <c r="S835" s="307">
        <f t="shared" ca="1" si="369"/>
        <v>8.5499999999999989</v>
      </c>
      <c r="T835" s="304">
        <f t="shared" ca="1" si="349"/>
        <v>83.875499999999988</v>
      </c>
      <c r="U835" s="311">
        <f t="shared" ca="1" si="350"/>
        <v>0</v>
      </c>
      <c r="V835" s="306">
        <f t="shared" ca="1" si="351"/>
        <v>1.2259374648072887</v>
      </c>
      <c r="W835" s="304">
        <f t="shared" ca="1" si="352"/>
        <v>58.463602434606834</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2.9145367342098725</v>
      </c>
      <c r="AH835" s="304">
        <f t="shared" ca="1" si="376"/>
        <v>-6.8378076751686114</v>
      </c>
    </row>
    <row r="836" spans="1:34" x14ac:dyDescent="0.3">
      <c r="A836" s="347">
        <f t="shared" ca="1" si="354"/>
        <v>1E-4</v>
      </c>
      <c r="B836" s="304">
        <f t="shared" ca="1" si="355"/>
        <v>33.132100000001266</v>
      </c>
      <c r="D836" s="306">
        <f t="shared" ca="1" si="356"/>
        <v>-0.74024963022702728</v>
      </c>
      <c r="E836" s="307">
        <f t="shared" ca="1" si="357"/>
        <v>-3.0123387102327959</v>
      </c>
      <c r="F836" s="304">
        <f t="shared" ca="1" si="358"/>
        <v>3.1019597064143554</v>
      </c>
      <c r="G836" s="306">
        <f t="shared" ca="1" si="359"/>
        <v>13.429555691918795</v>
      </c>
      <c r="H836" s="307">
        <f t="shared" ca="1" si="360"/>
        <v>-123.32366450844242</v>
      </c>
      <c r="I836" s="304">
        <f t="shared" ca="1" si="361"/>
        <v>124.05272747454289</v>
      </c>
      <c r="J836" s="306">
        <f t="shared" ca="1" si="362"/>
        <v>764.67878961306644</v>
      </c>
      <c r="K836" s="307">
        <f t="shared" ca="1" si="363"/>
        <v>-7.6621791610269456</v>
      </c>
      <c r="L836" s="304">
        <f t="shared" ref="L836:L899" ca="1" si="377">SQRT(pos_x^2+pos_z^2)</f>
        <v>764.71717665657275</v>
      </c>
      <c r="M836" s="306">
        <f t="shared" ca="1" si="364"/>
        <v>-1.4623269150207296</v>
      </c>
      <c r="N836" s="304">
        <f t="shared" ca="1" si="365"/>
        <v>-83.785160499073598</v>
      </c>
      <c r="P836" s="310">
        <f t="shared" ca="1" si="366"/>
        <v>23</v>
      </c>
      <c r="Q836" s="304">
        <f t="shared" ca="1" si="367"/>
        <v>0</v>
      </c>
      <c r="R836" s="306">
        <f t="shared" ca="1" si="368"/>
        <v>0</v>
      </c>
      <c r="S836" s="307">
        <f t="shared" ca="1" si="369"/>
        <v>8.5499999999999989</v>
      </c>
      <c r="T836" s="304">
        <f t="shared" ref="T836:T899" ca="1" si="378">m*g</f>
        <v>83.875499999999988</v>
      </c>
      <c r="U836" s="311">
        <f t="shared" ref="U836:U899" ca="1" si="379">IF(pos_xz&lt;L_rampe,Poids*COS(Beta),0)</f>
        <v>0</v>
      </c>
      <c r="V836" s="306">
        <f t="shared" ref="V836:V899" ca="1" si="380">Rho_moyen*(20000-Alt_rampe-pos_z)/(20000+Alt_rampe+pos_z)</f>
        <v>1.2259389766776023</v>
      </c>
      <c r="W836" s="304">
        <f t="shared" ref="W836:W899" ca="1" si="381">1/2*Rho*Sref*Cx*vit_xz^2</f>
        <v>58.463949244372508</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2.9144970806041783</v>
      </c>
      <c r="AH836" s="304">
        <f t="shared" ca="1" si="376"/>
        <v>-6.8378482379657122</v>
      </c>
    </row>
    <row r="837" spans="1:34" x14ac:dyDescent="0.3">
      <c r="A837" s="347">
        <f t="shared" ref="A837:A900" ca="1" si="383">IF(B836+0.01&lt;=T_ini+ROUNDUP(Temps_fin_propu,0), 0.01, IF(K836&gt;0, 0.1, 0.0001))</f>
        <v>1E-4</v>
      </c>
      <c r="B837" s="304">
        <f t="shared" ref="B837:B900" ca="1" si="384">B836+pas</f>
        <v>33.132200000001269</v>
      </c>
      <c r="D837" s="306">
        <f t="shared" ref="D837:D900" ca="1" si="385">IF(AND(L836&lt;L_rampe,Poussee&lt;Poids*SIN(M836)),0,(-W836+Poussee)/m*COS(M836)-U836/m*SIN(M836))</f>
        <v>-0.74024820196283381</v>
      </c>
      <c r="E837" s="307">
        <f t="shared" ref="E837:E900" ca="1" si="386">IF(AND(L836&lt;L_rampe,Poussee&lt;Poids*SIN(M836)),0,(-W836+Poussee)/m*SIN(M836)+U836/m*COS(M836)-Poids/m)</f>
        <v>-3.0122977523541028</v>
      </c>
      <c r="F837" s="304">
        <f t="shared" ref="F837:F900" ca="1" si="387">SQRT(acc_x^2+acc_z^2)</f>
        <v>3.1019195910511264</v>
      </c>
      <c r="G837" s="306">
        <f t="shared" ref="G837:G900" ca="1" si="388">G836+acc_x*pas</f>
        <v>13.429481667098598</v>
      </c>
      <c r="H837" s="307">
        <f t="shared" ref="H837:H900" ca="1" si="389">H836+acc_z*pas</f>
        <v>-123.32396573821765</v>
      </c>
      <c r="I837" s="304">
        <f t="shared" ref="I837:I900" ca="1" si="390">SQRT(vit_x^2+vit_z^2)</f>
        <v>124.05301892033107</v>
      </c>
      <c r="J837" s="306">
        <f t="shared" ref="J837:J900" ca="1" si="391">J836+0.5*(vit_x+G836)*pas*(K836&gt;=0)</f>
        <v>764.67878961306644</v>
      </c>
      <c r="K837" s="307">
        <f t="shared" ref="K837:K900" ca="1" si="392">K836+0.5*(vit_z+H836)*pas</f>
        <v>-7.6745115425392783</v>
      </c>
      <c r="L837" s="304">
        <f t="shared" ca="1" si="377"/>
        <v>764.71730032183848</v>
      </c>
      <c r="M837" s="306">
        <f t="shared" ref="M837:M900" ca="1" si="393">IF(AND(L836&gt;L_rampe,G837&gt;0),ATAN2(G837,H837),$M$4)</f>
        <v>-1.4623277711059455</v>
      </c>
      <c r="N837" s="304">
        <f t="shared" ref="N837:N900" ca="1" si="394">DEGREES(Beta)</f>
        <v>-83.78520954914336</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8.5499999999999989</v>
      </c>
      <c r="T837" s="304">
        <f t="shared" ca="1" si="378"/>
        <v>83.875499999999988</v>
      </c>
      <c r="U837" s="311">
        <f t="shared" ca="1" si="379"/>
        <v>0</v>
      </c>
      <c r="V837" s="306">
        <f t="shared" ca="1" si="380"/>
        <v>1.2259404885534742</v>
      </c>
      <c r="W837" s="304">
        <f t="shared" ca="1" si="381"/>
        <v>58.464296051988597</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2.9144574272334589</v>
      </c>
      <c r="AH837" s="304">
        <f t="shared" ref="AH837:AH900" ca="1" si="405">IF(AND(L836&lt;L_rampe,Poussee&lt;Poids*SIN(M836)), g*SIN(M836), (-W836+Poussee)/m)</f>
        <v>-6.8378888005114051</v>
      </c>
    </row>
    <row r="838" spans="1:34" x14ac:dyDescent="0.3">
      <c r="A838" s="347">
        <f t="shared" ca="1" si="383"/>
        <v>1E-4</v>
      </c>
      <c r="B838" s="304">
        <f t="shared" ca="1" si="384"/>
        <v>33.132300000001273</v>
      </c>
      <c r="D838" s="306">
        <f t="shared" ca="1" si="385"/>
        <v>-0.74024677366125902</v>
      </c>
      <c r="E838" s="307">
        <f t="shared" ca="1" si="386"/>
        <v>-3.0122567947292795</v>
      </c>
      <c r="F838" s="304">
        <f t="shared" ca="1" si="387"/>
        <v>3.10187947594819</v>
      </c>
      <c r="G838" s="306">
        <f t="shared" ca="1" si="388"/>
        <v>13.429407642421232</v>
      </c>
      <c r="H838" s="307">
        <f t="shared" ca="1" si="389"/>
        <v>-123.32426696389713</v>
      </c>
      <c r="I838" s="304">
        <f t="shared" ca="1" si="390"/>
        <v>124.05331036215395</v>
      </c>
      <c r="J838" s="306">
        <f t="shared" ca="1" si="391"/>
        <v>764.67878961306644</v>
      </c>
      <c r="K838" s="307">
        <f t="shared" ca="1" si="392"/>
        <v>-7.6868439541743836</v>
      </c>
      <c r="L838" s="304">
        <f t="shared" ca="1" si="377"/>
        <v>764.71742418626775</v>
      </c>
      <c r="M838" s="306">
        <f t="shared" ca="1" si="393"/>
        <v>-1.4623286271824201</v>
      </c>
      <c r="N838" s="304">
        <f t="shared" ca="1" si="394"/>
        <v>-83.785258598712304</v>
      </c>
      <c r="P838" s="310">
        <f t="shared" ca="1" si="395"/>
        <v>23</v>
      </c>
      <c r="Q838" s="304">
        <f t="shared" ca="1" si="396"/>
        <v>0</v>
      </c>
      <c r="R838" s="306">
        <f t="shared" ca="1" si="397"/>
        <v>0</v>
      </c>
      <c r="S838" s="307">
        <f t="shared" ca="1" si="398"/>
        <v>8.5499999999999989</v>
      </c>
      <c r="T838" s="304">
        <f t="shared" ca="1" si="378"/>
        <v>83.875499999999988</v>
      </c>
      <c r="U838" s="311">
        <f t="shared" ca="1" si="379"/>
        <v>0</v>
      </c>
      <c r="V838" s="306">
        <f t="shared" ca="1" si="380"/>
        <v>1.2259420004349042</v>
      </c>
      <c r="W838" s="304">
        <f t="shared" ca="1" si="381"/>
        <v>58.464642857455139</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2.9144177740977231</v>
      </c>
      <c r="AH838" s="304">
        <f t="shared" ca="1" si="405"/>
        <v>-6.837929362805685</v>
      </c>
    </row>
    <row r="839" spans="1:34" x14ac:dyDescent="0.3">
      <c r="A839" s="347">
        <f t="shared" ca="1" si="383"/>
        <v>1E-4</v>
      </c>
      <c r="B839" s="304">
        <f t="shared" ca="1" si="384"/>
        <v>33.132400000001276</v>
      </c>
      <c r="D839" s="306">
        <f t="shared" ca="1" si="385"/>
        <v>-0.74024534532230479</v>
      </c>
      <c r="E839" s="307">
        <f t="shared" ca="1" si="386"/>
        <v>-3.0122158373583225</v>
      </c>
      <c r="F839" s="304">
        <f t="shared" ca="1" si="387"/>
        <v>3.1018393611055424</v>
      </c>
      <c r="G839" s="306">
        <f t="shared" ca="1" si="388"/>
        <v>13.4293336178867</v>
      </c>
      <c r="H839" s="307">
        <f t="shared" ca="1" si="389"/>
        <v>-123.32456818548087</v>
      </c>
      <c r="I839" s="304">
        <f t="shared" ca="1" si="390"/>
        <v>124.05360180001152</v>
      </c>
      <c r="J839" s="306">
        <f t="shared" ca="1" si="391"/>
        <v>764.67878961306644</v>
      </c>
      <c r="K839" s="307">
        <f t="shared" ca="1" si="392"/>
        <v>-7.6991763959318522</v>
      </c>
      <c r="L839" s="304">
        <f t="shared" ca="1" si="377"/>
        <v>764.71754824986192</v>
      </c>
      <c r="M839" s="306">
        <f t="shared" ca="1" si="393"/>
        <v>-1.4623294832501534</v>
      </c>
      <c r="N839" s="304">
        <f t="shared" ca="1" si="394"/>
        <v>-83.7853076477804</v>
      </c>
      <c r="P839" s="310">
        <f t="shared" ca="1" si="395"/>
        <v>23</v>
      </c>
      <c r="Q839" s="304">
        <f t="shared" ca="1" si="396"/>
        <v>0</v>
      </c>
      <c r="R839" s="306">
        <f t="shared" ca="1" si="397"/>
        <v>0</v>
      </c>
      <c r="S839" s="307">
        <f t="shared" ca="1" si="398"/>
        <v>8.5499999999999989</v>
      </c>
      <c r="T839" s="304">
        <f t="shared" ca="1" si="378"/>
        <v>83.875499999999988</v>
      </c>
      <c r="U839" s="311">
        <f t="shared" ca="1" si="379"/>
        <v>0</v>
      </c>
      <c r="V839" s="306">
        <f t="shared" ca="1" si="380"/>
        <v>1.2259435123218914</v>
      </c>
      <c r="W839" s="304">
        <f t="shared" ca="1" si="381"/>
        <v>58.464989660772005</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2.9143781211969673</v>
      </c>
      <c r="AH839" s="304">
        <f t="shared" ca="1" si="405"/>
        <v>-6.8379699248485553</v>
      </c>
    </row>
    <row r="840" spans="1:34" x14ac:dyDescent="0.3">
      <c r="A840" s="347">
        <f t="shared" ca="1" si="383"/>
        <v>1E-4</v>
      </c>
      <c r="B840" s="304">
        <f t="shared" ca="1" si="384"/>
        <v>33.132500000001279</v>
      </c>
      <c r="D840" s="306">
        <f t="shared" ca="1" si="385"/>
        <v>-0.74024391694597169</v>
      </c>
      <c r="E840" s="307">
        <f t="shared" ca="1" si="386"/>
        <v>-3.012174880241246</v>
      </c>
      <c r="F840" s="304">
        <f t="shared" ca="1" si="387"/>
        <v>3.1017992465231981</v>
      </c>
      <c r="G840" s="306">
        <f t="shared" ca="1" si="388"/>
        <v>13.429259593495004</v>
      </c>
      <c r="H840" s="307">
        <f t="shared" ca="1" si="389"/>
        <v>-123.3248694029689</v>
      </c>
      <c r="I840" s="304">
        <f t="shared" ca="1" si="390"/>
        <v>124.05389323390384</v>
      </c>
      <c r="J840" s="306">
        <f t="shared" ca="1" si="391"/>
        <v>764.67878961306644</v>
      </c>
      <c r="K840" s="307">
        <f t="shared" ca="1" si="392"/>
        <v>-7.7115088678112746</v>
      </c>
      <c r="L840" s="304">
        <f t="shared" ca="1" si="377"/>
        <v>764.71767251262258</v>
      </c>
      <c r="M840" s="306">
        <f t="shared" ca="1" si="393"/>
        <v>-1.4623303393091458</v>
      </c>
      <c r="N840" s="304">
        <f t="shared" ca="1" si="394"/>
        <v>-83.785356696347677</v>
      </c>
      <c r="P840" s="310">
        <f t="shared" ca="1" si="395"/>
        <v>23</v>
      </c>
      <c r="Q840" s="304">
        <f t="shared" ca="1" si="396"/>
        <v>0</v>
      </c>
      <c r="R840" s="306">
        <f t="shared" ca="1" si="397"/>
        <v>0</v>
      </c>
      <c r="S840" s="307">
        <f t="shared" ca="1" si="398"/>
        <v>8.5499999999999989</v>
      </c>
      <c r="T840" s="304">
        <f t="shared" ca="1" si="378"/>
        <v>83.875499999999988</v>
      </c>
      <c r="U840" s="311">
        <f t="shared" ca="1" si="379"/>
        <v>0</v>
      </c>
      <c r="V840" s="306">
        <f t="shared" ca="1" si="380"/>
        <v>1.2259450242144374</v>
      </c>
      <c r="W840" s="304">
        <f t="shared" ca="1" si="381"/>
        <v>58.465336461939316</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2.9143384685312039</v>
      </c>
      <c r="AH840" s="304">
        <f t="shared" ca="1" si="405"/>
        <v>-6.8380104866400018</v>
      </c>
    </row>
    <row r="841" spans="1:34" x14ac:dyDescent="0.3">
      <c r="A841" s="347">
        <f t="shared" ca="1" si="383"/>
        <v>1E-4</v>
      </c>
      <c r="B841" s="304">
        <f t="shared" ca="1" si="384"/>
        <v>33.132600000001283</v>
      </c>
      <c r="D841" s="306">
        <f t="shared" ca="1" si="385"/>
        <v>-0.74024248853226082</v>
      </c>
      <c r="E841" s="307">
        <f t="shared" ca="1" si="386"/>
        <v>-3.0121339233780375</v>
      </c>
      <c r="F841" s="304">
        <f t="shared" ca="1" si="387"/>
        <v>3.1017591322011455</v>
      </c>
      <c r="G841" s="306">
        <f t="shared" ca="1" si="388"/>
        <v>13.429185569246151</v>
      </c>
      <c r="H841" s="307">
        <f t="shared" ca="1" si="389"/>
        <v>-123.32517061636123</v>
      </c>
      <c r="I841" s="304">
        <f t="shared" ca="1" si="390"/>
        <v>124.0541846638309</v>
      </c>
      <c r="J841" s="306">
        <f t="shared" ca="1" si="391"/>
        <v>764.67878961306644</v>
      </c>
      <c r="K841" s="307">
        <f t="shared" ca="1" si="392"/>
        <v>-7.7238413698122415</v>
      </c>
      <c r="L841" s="304">
        <f t="shared" ca="1" si="377"/>
        <v>764.71779697455077</v>
      </c>
      <c r="M841" s="306">
        <f t="shared" ca="1" si="393"/>
        <v>-1.4623311953593974</v>
      </c>
      <c r="N841" s="304">
        <f t="shared" ca="1" si="394"/>
        <v>-83.785405744414149</v>
      </c>
      <c r="P841" s="310">
        <f t="shared" ca="1" si="395"/>
        <v>23</v>
      </c>
      <c r="Q841" s="304">
        <f t="shared" ca="1" si="396"/>
        <v>0</v>
      </c>
      <c r="R841" s="306">
        <f t="shared" ca="1" si="397"/>
        <v>0</v>
      </c>
      <c r="S841" s="307">
        <f t="shared" ca="1" si="398"/>
        <v>8.5499999999999989</v>
      </c>
      <c r="T841" s="304">
        <f t="shared" ca="1" si="378"/>
        <v>83.875499999999988</v>
      </c>
      <c r="U841" s="311">
        <f t="shared" ca="1" si="379"/>
        <v>0</v>
      </c>
      <c r="V841" s="306">
        <f t="shared" ca="1" si="380"/>
        <v>1.225946536112541</v>
      </c>
      <c r="W841" s="304">
        <f t="shared" ca="1" si="381"/>
        <v>58.465683260956965</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2.9142988161004215</v>
      </c>
      <c r="AH841" s="304">
        <f t="shared" ca="1" si="405"/>
        <v>-6.8380510481800378</v>
      </c>
    </row>
    <row r="842" spans="1:34" x14ac:dyDescent="0.3">
      <c r="A842" s="347">
        <f t="shared" ca="1" si="383"/>
        <v>1E-4</v>
      </c>
      <c r="B842" s="304">
        <f t="shared" ca="1" si="384"/>
        <v>33.132700000001286</v>
      </c>
      <c r="D842" s="306">
        <f t="shared" ca="1" si="385"/>
        <v>-0.74024106008117152</v>
      </c>
      <c r="E842" s="307">
        <f t="shared" ca="1" si="386"/>
        <v>-3.0120929667687069</v>
      </c>
      <c r="F842" s="304">
        <f t="shared" ca="1" si="387"/>
        <v>3.1017190181393941</v>
      </c>
      <c r="G842" s="306">
        <f t="shared" ca="1" si="388"/>
        <v>13.429111545140143</v>
      </c>
      <c r="H842" s="307">
        <f t="shared" ca="1" si="389"/>
        <v>-123.32547182565791</v>
      </c>
      <c r="I842" s="304">
        <f t="shared" ca="1" si="390"/>
        <v>124.05447608979274</v>
      </c>
      <c r="J842" s="306">
        <f t="shared" ca="1" si="391"/>
        <v>764.67878961306644</v>
      </c>
      <c r="K842" s="307">
        <f t="shared" ca="1" si="392"/>
        <v>-7.7361739019343423</v>
      </c>
      <c r="L842" s="304">
        <f t="shared" ca="1" si="377"/>
        <v>764.71792163564817</v>
      </c>
      <c r="M842" s="306">
        <f t="shared" ca="1" si="393"/>
        <v>-1.4623320514009082</v>
      </c>
      <c r="N842" s="304">
        <f t="shared" ca="1" si="394"/>
        <v>-83.785454791979802</v>
      </c>
      <c r="P842" s="310">
        <f t="shared" ca="1" si="395"/>
        <v>23</v>
      </c>
      <c r="Q842" s="304">
        <f t="shared" ca="1" si="396"/>
        <v>0</v>
      </c>
      <c r="R842" s="306">
        <f t="shared" ca="1" si="397"/>
        <v>0</v>
      </c>
      <c r="S842" s="307">
        <f t="shared" ca="1" si="398"/>
        <v>8.5499999999999989</v>
      </c>
      <c r="T842" s="304">
        <f t="shared" ca="1" si="378"/>
        <v>83.875499999999988</v>
      </c>
      <c r="U842" s="311">
        <f t="shared" ca="1" si="379"/>
        <v>0</v>
      </c>
      <c r="V842" s="306">
        <f t="shared" ca="1" si="380"/>
        <v>1.2259480480162033</v>
      </c>
      <c r="W842" s="304">
        <f t="shared" ca="1" si="381"/>
        <v>58.466030057825016</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2.9142591639046334</v>
      </c>
      <c r="AH842" s="304">
        <f t="shared" ca="1" si="405"/>
        <v>-6.8380916094686519</v>
      </c>
    </row>
    <row r="843" spans="1:34" x14ac:dyDescent="0.3">
      <c r="A843" s="347">
        <f t="shared" ca="1" si="383"/>
        <v>1E-4</v>
      </c>
      <c r="B843" s="304">
        <f t="shared" ca="1" si="384"/>
        <v>33.132800000001289</v>
      </c>
      <c r="D843" s="306">
        <f t="shared" ca="1" si="385"/>
        <v>-0.74023963159270623</v>
      </c>
      <c r="E843" s="307">
        <f t="shared" ca="1" si="386"/>
        <v>-3.0120520104132487</v>
      </c>
      <c r="F843" s="304">
        <f t="shared" ca="1" si="387"/>
        <v>3.1016789043379389</v>
      </c>
      <c r="G843" s="306">
        <f t="shared" ca="1" si="388"/>
        <v>13.429037521176983</v>
      </c>
      <c r="H843" s="307">
        <f t="shared" ca="1" si="389"/>
        <v>-123.32577303085895</v>
      </c>
      <c r="I843" s="304">
        <f t="shared" ca="1" si="390"/>
        <v>124.05476751178939</v>
      </c>
      <c r="J843" s="306">
        <f t="shared" ca="1" si="391"/>
        <v>764.67878961306644</v>
      </c>
      <c r="K843" s="307">
        <f t="shared" ca="1" si="392"/>
        <v>-7.7485064641771677</v>
      </c>
      <c r="L843" s="304">
        <f t="shared" ca="1" si="377"/>
        <v>764.71804649591581</v>
      </c>
      <c r="M843" s="306">
        <f t="shared" ca="1" si="393"/>
        <v>-1.4623329074336784</v>
      </c>
      <c r="N843" s="304">
        <f t="shared" ca="1" si="394"/>
        <v>-83.785503839044665</v>
      </c>
      <c r="P843" s="310">
        <f t="shared" ca="1" si="395"/>
        <v>23</v>
      </c>
      <c r="Q843" s="304">
        <f t="shared" ca="1" si="396"/>
        <v>0</v>
      </c>
      <c r="R843" s="306">
        <f t="shared" ca="1" si="397"/>
        <v>0</v>
      </c>
      <c r="S843" s="307">
        <f t="shared" ca="1" si="398"/>
        <v>8.5499999999999989</v>
      </c>
      <c r="T843" s="304">
        <f t="shared" ca="1" si="378"/>
        <v>83.875499999999988</v>
      </c>
      <c r="U843" s="311">
        <f t="shared" ca="1" si="379"/>
        <v>0</v>
      </c>
      <c r="V843" s="306">
        <f t="shared" ca="1" si="380"/>
        <v>1.2259495599254229</v>
      </c>
      <c r="W843" s="304">
        <f t="shared" ca="1" si="381"/>
        <v>58.466376852543398</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2.9142195119438306</v>
      </c>
      <c r="AH843" s="304">
        <f t="shared" ca="1" si="405"/>
        <v>-6.8381321705058511</v>
      </c>
    </row>
    <row r="844" spans="1:34" x14ac:dyDescent="0.3">
      <c r="A844" s="347">
        <f t="shared" ca="1" si="383"/>
        <v>1E-4</v>
      </c>
      <c r="B844" s="304">
        <f t="shared" ca="1" si="384"/>
        <v>33.132900000001293</v>
      </c>
      <c r="D844" s="306">
        <f t="shared" ca="1" si="385"/>
        <v>-0.74023820306686405</v>
      </c>
      <c r="E844" s="307">
        <f t="shared" ca="1" si="386"/>
        <v>-3.0120110543116709</v>
      </c>
      <c r="F844" s="304">
        <f t="shared" ca="1" si="387"/>
        <v>3.1016387907967884</v>
      </c>
      <c r="G844" s="306">
        <f t="shared" ca="1" si="388"/>
        <v>13.428963497356676</v>
      </c>
      <c r="H844" s="307">
        <f t="shared" ca="1" si="389"/>
        <v>-123.32607423196438</v>
      </c>
      <c r="I844" s="304">
        <f t="shared" ca="1" si="390"/>
        <v>124.05505892982086</v>
      </c>
      <c r="J844" s="306">
        <f t="shared" ca="1" si="391"/>
        <v>764.67878961306644</v>
      </c>
      <c r="K844" s="307">
        <f t="shared" ca="1" si="392"/>
        <v>-7.7608390565403091</v>
      </c>
      <c r="L844" s="304">
        <f t="shared" ca="1" si="377"/>
        <v>764.7181715553553</v>
      </c>
      <c r="M844" s="306">
        <f t="shared" ca="1" si="393"/>
        <v>-1.4623337634577083</v>
      </c>
      <c r="N844" s="304">
        <f t="shared" ca="1" si="394"/>
        <v>-83.785552885608737</v>
      </c>
      <c r="P844" s="310">
        <f t="shared" ca="1" si="395"/>
        <v>23</v>
      </c>
      <c r="Q844" s="304">
        <f t="shared" ca="1" si="396"/>
        <v>0</v>
      </c>
      <c r="R844" s="306">
        <f t="shared" ca="1" si="397"/>
        <v>0</v>
      </c>
      <c r="S844" s="307">
        <f t="shared" ca="1" si="398"/>
        <v>8.5499999999999989</v>
      </c>
      <c r="T844" s="304">
        <f t="shared" ca="1" si="378"/>
        <v>83.875499999999988</v>
      </c>
      <c r="U844" s="311">
        <f t="shared" ca="1" si="379"/>
        <v>0</v>
      </c>
      <c r="V844" s="306">
        <f t="shared" ca="1" si="380"/>
        <v>1.2259510718402002</v>
      </c>
      <c r="W844" s="304">
        <f t="shared" ca="1" si="381"/>
        <v>58.466723645112083</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2.914179860218022</v>
      </c>
      <c r="AH844" s="304">
        <f t="shared" ca="1" si="405"/>
        <v>-6.8381727312916265</v>
      </c>
    </row>
    <row r="845" spans="1:34" x14ac:dyDescent="0.3">
      <c r="A845" s="347">
        <f t="shared" ca="1" si="383"/>
        <v>1E-4</v>
      </c>
      <c r="B845" s="304">
        <f t="shared" ca="1" si="384"/>
        <v>33.133000000001296</v>
      </c>
      <c r="D845" s="306">
        <f t="shared" ca="1" si="385"/>
        <v>-0.740236774503645</v>
      </c>
      <c r="E845" s="307">
        <f t="shared" ca="1" si="386"/>
        <v>-3.0119700984639763</v>
      </c>
      <c r="F845" s="304">
        <f t="shared" ca="1" si="387"/>
        <v>3.1015986775159443</v>
      </c>
      <c r="G845" s="306">
        <f t="shared" ca="1" si="388"/>
        <v>13.428889473679225</v>
      </c>
      <c r="H845" s="307">
        <f t="shared" ca="1" si="389"/>
        <v>-123.32637542897423</v>
      </c>
      <c r="I845" s="304">
        <f t="shared" ca="1" si="390"/>
        <v>124.0553503438872</v>
      </c>
      <c r="J845" s="306">
        <f t="shared" ca="1" si="391"/>
        <v>764.67878961306644</v>
      </c>
      <c r="K845" s="307">
        <f t="shared" ca="1" si="392"/>
        <v>-7.7731716790233563</v>
      </c>
      <c r="L845" s="304">
        <f t="shared" ca="1" si="377"/>
        <v>764.71829681396787</v>
      </c>
      <c r="M845" s="306">
        <f t="shared" ca="1" si="393"/>
        <v>-1.4623346194729976</v>
      </c>
      <c r="N845" s="304">
        <f t="shared" ca="1" si="394"/>
        <v>-83.785601931672005</v>
      </c>
      <c r="P845" s="310">
        <f t="shared" ca="1" si="395"/>
        <v>23</v>
      </c>
      <c r="Q845" s="304">
        <f t="shared" ca="1" si="396"/>
        <v>0</v>
      </c>
      <c r="R845" s="306">
        <f t="shared" ca="1" si="397"/>
        <v>0</v>
      </c>
      <c r="S845" s="307">
        <f t="shared" ca="1" si="398"/>
        <v>8.5499999999999989</v>
      </c>
      <c r="T845" s="304">
        <f t="shared" ca="1" si="378"/>
        <v>83.875499999999988</v>
      </c>
      <c r="U845" s="311">
        <f t="shared" ca="1" si="379"/>
        <v>0</v>
      </c>
      <c r="V845" s="306">
        <f t="shared" ca="1" si="380"/>
        <v>1.2259525837605358</v>
      </c>
      <c r="W845" s="304">
        <f t="shared" ca="1" si="381"/>
        <v>58.467070435531134</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2.9141402087272121</v>
      </c>
      <c r="AH845" s="304">
        <f t="shared" ca="1" si="405"/>
        <v>-6.8382132918259755</v>
      </c>
    </row>
    <row r="846" spans="1:34" x14ac:dyDescent="0.3">
      <c r="A846" s="347">
        <f t="shared" ca="1" si="383"/>
        <v>1E-4</v>
      </c>
      <c r="B846" s="304">
        <f t="shared" ca="1" si="384"/>
        <v>33.133100000001299</v>
      </c>
      <c r="D846" s="306">
        <f t="shared" ca="1" si="385"/>
        <v>-0.74023534590305307</v>
      </c>
      <c r="E846" s="307">
        <f t="shared" ca="1" si="386"/>
        <v>-3.0119291428701578</v>
      </c>
      <c r="F846" s="304">
        <f t="shared" ca="1" si="387"/>
        <v>3.1015585644954013</v>
      </c>
      <c r="G846" s="306">
        <f t="shared" ca="1" si="388"/>
        <v>13.428815450144635</v>
      </c>
      <c r="H846" s="307">
        <f t="shared" ca="1" si="389"/>
        <v>-123.32667662188852</v>
      </c>
      <c r="I846" s="304">
        <f t="shared" ca="1" si="390"/>
        <v>124.0556417539884</v>
      </c>
      <c r="J846" s="306">
        <f t="shared" ca="1" si="391"/>
        <v>764.67878961306644</v>
      </c>
      <c r="K846" s="307">
        <f t="shared" ca="1" si="392"/>
        <v>-7.7855043316258996</v>
      </c>
      <c r="L846" s="304">
        <f t="shared" ca="1" si="377"/>
        <v>764.71842227175489</v>
      </c>
      <c r="M846" s="306">
        <f t="shared" ca="1" si="393"/>
        <v>-1.462335475479547</v>
      </c>
      <c r="N846" s="304">
        <f t="shared" ca="1" si="394"/>
        <v>-83.785650977234525</v>
      </c>
      <c r="P846" s="310">
        <f t="shared" ca="1" si="395"/>
        <v>23</v>
      </c>
      <c r="Q846" s="304">
        <f t="shared" ca="1" si="396"/>
        <v>0</v>
      </c>
      <c r="R846" s="306">
        <f t="shared" ca="1" si="397"/>
        <v>0</v>
      </c>
      <c r="S846" s="307">
        <f t="shared" ca="1" si="398"/>
        <v>8.5499999999999989</v>
      </c>
      <c r="T846" s="304">
        <f t="shared" ca="1" si="378"/>
        <v>83.875499999999988</v>
      </c>
      <c r="U846" s="311">
        <f t="shared" ca="1" si="379"/>
        <v>0</v>
      </c>
      <c r="V846" s="306">
        <f t="shared" ca="1" si="380"/>
        <v>1.2259540956864292</v>
      </c>
      <c r="W846" s="304">
        <f t="shared" ca="1" si="381"/>
        <v>58.467417223800467</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2.9141005574713938</v>
      </c>
      <c r="AH846" s="304">
        <f t="shared" ca="1" si="405"/>
        <v>-6.8382538521089051</v>
      </c>
    </row>
    <row r="847" spans="1:34" x14ac:dyDescent="0.3">
      <c r="A847" s="347">
        <f t="shared" ca="1" si="383"/>
        <v>1E-4</v>
      </c>
      <c r="B847" s="304">
        <f t="shared" ca="1" si="384"/>
        <v>33.133200000001302</v>
      </c>
      <c r="D847" s="306">
        <f t="shared" ca="1" si="385"/>
        <v>-0.74023391726508425</v>
      </c>
      <c r="E847" s="307">
        <f t="shared" ca="1" si="386"/>
        <v>-3.011888187530225</v>
      </c>
      <c r="F847" s="304">
        <f t="shared" ca="1" si="387"/>
        <v>3.1015184517351679</v>
      </c>
      <c r="G847" s="306">
        <f t="shared" ca="1" si="388"/>
        <v>13.428741426752907</v>
      </c>
      <c r="H847" s="307">
        <f t="shared" ca="1" si="389"/>
        <v>-123.32697781070728</v>
      </c>
      <c r="I847" s="304">
        <f t="shared" ca="1" si="390"/>
        <v>124.0559331601245</v>
      </c>
      <c r="J847" s="306">
        <f t="shared" ca="1" si="391"/>
        <v>764.67878961306644</v>
      </c>
      <c r="K847" s="307">
        <f t="shared" ca="1" si="392"/>
        <v>-7.7978370143475297</v>
      </c>
      <c r="L847" s="304">
        <f t="shared" ca="1" si="377"/>
        <v>764.71854792871784</v>
      </c>
      <c r="M847" s="306">
        <f t="shared" ca="1" si="393"/>
        <v>-1.4623363314773563</v>
      </c>
      <c r="N847" s="304">
        <f t="shared" ca="1" si="394"/>
        <v>-83.785700022296268</v>
      </c>
      <c r="P847" s="310">
        <f t="shared" ca="1" si="395"/>
        <v>23</v>
      </c>
      <c r="Q847" s="304">
        <f t="shared" ca="1" si="396"/>
        <v>0</v>
      </c>
      <c r="R847" s="306">
        <f t="shared" ca="1" si="397"/>
        <v>0</v>
      </c>
      <c r="S847" s="307">
        <f t="shared" ca="1" si="398"/>
        <v>8.5499999999999989</v>
      </c>
      <c r="T847" s="304">
        <f t="shared" ca="1" si="378"/>
        <v>83.875499999999988</v>
      </c>
      <c r="U847" s="311">
        <f t="shared" ca="1" si="379"/>
        <v>0</v>
      </c>
      <c r="V847" s="306">
        <f t="shared" ca="1" si="380"/>
        <v>1.2259556076178801</v>
      </c>
      <c r="W847" s="304">
        <f t="shared" ca="1" si="381"/>
        <v>58.467764009920103</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2.914060906450576</v>
      </c>
      <c r="AH847" s="304">
        <f t="shared" ca="1" si="405"/>
        <v>-6.8382944121404066</v>
      </c>
    </row>
    <row r="848" spans="1:34" x14ac:dyDescent="0.3">
      <c r="A848" s="347">
        <f t="shared" ca="1" si="383"/>
        <v>1E-4</v>
      </c>
      <c r="B848" s="304">
        <f t="shared" ca="1" si="384"/>
        <v>33.133300000001306</v>
      </c>
      <c r="D848" s="306">
        <f t="shared" ca="1" si="385"/>
        <v>-0.74023248858974233</v>
      </c>
      <c r="E848" s="307">
        <f t="shared" ca="1" si="386"/>
        <v>-3.0118472324441763</v>
      </c>
      <c r="F848" s="304">
        <f t="shared" ca="1" si="387"/>
        <v>3.1014783392352441</v>
      </c>
      <c r="G848" s="306">
        <f t="shared" ca="1" si="388"/>
        <v>13.428667403504049</v>
      </c>
      <c r="H848" s="307">
        <f t="shared" ca="1" si="389"/>
        <v>-123.32727899543052</v>
      </c>
      <c r="I848" s="304">
        <f t="shared" ca="1" si="390"/>
        <v>124.0562245622955</v>
      </c>
      <c r="J848" s="306">
        <f t="shared" ca="1" si="391"/>
        <v>764.67878961306644</v>
      </c>
      <c r="K848" s="307">
        <f t="shared" ca="1" si="392"/>
        <v>-7.8101697271878363</v>
      </c>
      <c r="L848" s="304">
        <f t="shared" ca="1" si="377"/>
        <v>764.71867378485786</v>
      </c>
      <c r="M848" s="306">
        <f t="shared" ca="1" si="393"/>
        <v>-1.4623371874664255</v>
      </c>
      <c r="N848" s="304">
        <f t="shared" ca="1" si="394"/>
        <v>-83.78574906685725</v>
      </c>
      <c r="P848" s="310">
        <f t="shared" ca="1" si="395"/>
        <v>23</v>
      </c>
      <c r="Q848" s="304">
        <f t="shared" ca="1" si="396"/>
        <v>0</v>
      </c>
      <c r="R848" s="306">
        <f t="shared" ca="1" si="397"/>
        <v>0</v>
      </c>
      <c r="S848" s="307">
        <f t="shared" ca="1" si="398"/>
        <v>8.5499999999999989</v>
      </c>
      <c r="T848" s="304">
        <f t="shared" ca="1" si="378"/>
        <v>83.875499999999988</v>
      </c>
      <c r="U848" s="311">
        <f t="shared" ca="1" si="379"/>
        <v>0</v>
      </c>
      <c r="V848" s="306">
        <f t="shared" ca="1" si="380"/>
        <v>1.2259571195548893</v>
      </c>
      <c r="W848" s="304">
        <f t="shared" ca="1" si="381"/>
        <v>58.468110793890013</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2.9140212556647596</v>
      </c>
      <c r="AH848" s="304">
        <f t="shared" ca="1" si="405"/>
        <v>-6.8383349719204807</v>
      </c>
    </row>
    <row r="849" spans="1:34" x14ac:dyDescent="0.3">
      <c r="A849" s="347">
        <f t="shared" ca="1" si="383"/>
        <v>1E-4</v>
      </c>
      <c r="B849" s="304">
        <f t="shared" ca="1" si="384"/>
        <v>33.133400000001309</v>
      </c>
      <c r="D849" s="306">
        <f t="shared" ca="1" si="385"/>
        <v>-0.7402310598770282</v>
      </c>
      <c r="E849" s="307">
        <f t="shared" ca="1" si="386"/>
        <v>-3.0118062776120142</v>
      </c>
      <c r="F849" s="304">
        <f t="shared" ca="1" si="387"/>
        <v>3.1014382269956315</v>
      </c>
      <c r="G849" s="306">
        <f t="shared" ca="1" si="388"/>
        <v>13.428593380398061</v>
      </c>
      <c r="H849" s="307">
        <f t="shared" ca="1" si="389"/>
        <v>-123.32758017605828</v>
      </c>
      <c r="I849" s="304">
        <f t="shared" ca="1" si="390"/>
        <v>124.05651596050146</v>
      </c>
      <c r="J849" s="306">
        <f t="shared" ca="1" si="391"/>
        <v>764.67878961306644</v>
      </c>
      <c r="K849" s="307">
        <f t="shared" ca="1" si="392"/>
        <v>-7.8225024701464108</v>
      </c>
      <c r="L849" s="304">
        <f t="shared" ca="1" si="377"/>
        <v>764.71879984017642</v>
      </c>
      <c r="M849" s="306">
        <f t="shared" ca="1" si="393"/>
        <v>-1.4623380434467552</v>
      </c>
      <c r="N849" s="304">
        <f t="shared" ca="1" si="394"/>
        <v>-83.785798110917483</v>
      </c>
      <c r="P849" s="310">
        <f t="shared" ca="1" si="395"/>
        <v>23</v>
      </c>
      <c r="Q849" s="304">
        <f t="shared" ca="1" si="396"/>
        <v>0</v>
      </c>
      <c r="R849" s="306">
        <f t="shared" ca="1" si="397"/>
        <v>0</v>
      </c>
      <c r="S849" s="307">
        <f t="shared" ca="1" si="398"/>
        <v>8.5499999999999989</v>
      </c>
      <c r="T849" s="304">
        <f t="shared" ca="1" si="378"/>
        <v>83.875499999999988</v>
      </c>
      <c r="U849" s="311">
        <f t="shared" ca="1" si="379"/>
        <v>0</v>
      </c>
      <c r="V849" s="306">
        <f t="shared" ca="1" si="380"/>
        <v>1.225958631497456</v>
      </c>
      <c r="W849" s="304">
        <f t="shared" ca="1" si="381"/>
        <v>58.468457575710197</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2.9139816051139436</v>
      </c>
      <c r="AH849" s="304">
        <f t="shared" ca="1" si="405"/>
        <v>-6.8383755314491248</v>
      </c>
    </row>
    <row r="850" spans="1:34" x14ac:dyDescent="0.3">
      <c r="A850" s="347">
        <f t="shared" ca="1" si="383"/>
        <v>1E-4</v>
      </c>
      <c r="B850" s="304">
        <f t="shared" ca="1" si="384"/>
        <v>33.133500000001312</v>
      </c>
      <c r="D850" s="306">
        <f t="shared" ca="1" si="385"/>
        <v>-0.74022963112693951</v>
      </c>
      <c r="E850" s="307">
        <f t="shared" ca="1" si="386"/>
        <v>-3.011765323033738</v>
      </c>
      <c r="F850" s="304">
        <f t="shared" ca="1" si="387"/>
        <v>3.1013981150163294</v>
      </c>
      <c r="G850" s="306">
        <f t="shared" ca="1" si="388"/>
        <v>13.428519357434949</v>
      </c>
      <c r="H850" s="307">
        <f t="shared" ca="1" si="389"/>
        <v>-123.32788135259058</v>
      </c>
      <c r="I850" s="304">
        <f t="shared" ca="1" si="390"/>
        <v>124.05680735474238</v>
      </c>
      <c r="J850" s="306">
        <f t="shared" ca="1" si="391"/>
        <v>764.67878961306644</v>
      </c>
      <c r="K850" s="307">
        <f t="shared" ca="1" si="392"/>
        <v>-7.8348352432228436</v>
      </c>
      <c r="L850" s="304">
        <f t="shared" ca="1" si="377"/>
        <v>764.71892609467488</v>
      </c>
      <c r="M850" s="306">
        <f t="shared" ca="1" si="393"/>
        <v>-1.4623388994183451</v>
      </c>
      <c r="N850" s="304">
        <f t="shared" ca="1" si="394"/>
        <v>-83.785847154476969</v>
      </c>
      <c r="P850" s="310">
        <f t="shared" ca="1" si="395"/>
        <v>23</v>
      </c>
      <c r="Q850" s="304">
        <f t="shared" ca="1" si="396"/>
        <v>0</v>
      </c>
      <c r="R850" s="306">
        <f t="shared" ca="1" si="397"/>
        <v>0</v>
      </c>
      <c r="S850" s="307">
        <f t="shared" ca="1" si="398"/>
        <v>8.5499999999999989</v>
      </c>
      <c r="T850" s="304">
        <f t="shared" ca="1" si="378"/>
        <v>83.875499999999988</v>
      </c>
      <c r="U850" s="311">
        <f t="shared" ca="1" si="379"/>
        <v>0</v>
      </c>
      <c r="V850" s="306">
        <f t="shared" ca="1" si="380"/>
        <v>1.2259601434455802</v>
      </c>
      <c r="W850" s="304">
        <f t="shared" ca="1" si="381"/>
        <v>58.468804355380605</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2.9139419547981342</v>
      </c>
      <c r="AH850" s="304">
        <f t="shared" ca="1" si="405"/>
        <v>-6.8384160907263398</v>
      </c>
    </row>
    <row r="851" spans="1:34" x14ac:dyDescent="0.3">
      <c r="A851" s="347">
        <f t="shared" ca="1" si="383"/>
        <v>1E-4</v>
      </c>
      <c r="B851" s="304">
        <f t="shared" ca="1" si="384"/>
        <v>33.133600000001316</v>
      </c>
      <c r="D851" s="306">
        <f t="shared" ca="1" si="385"/>
        <v>-0.74022820233948017</v>
      </c>
      <c r="E851" s="307">
        <f t="shared" ca="1" si="386"/>
        <v>-3.0117243687093538</v>
      </c>
      <c r="F851" s="304">
        <f t="shared" ca="1" si="387"/>
        <v>3.1013580032973445</v>
      </c>
      <c r="G851" s="306">
        <f t="shared" ca="1" si="388"/>
        <v>13.428445334614715</v>
      </c>
      <c r="H851" s="307">
        <f t="shared" ca="1" si="389"/>
        <v>-123.32818252502746</v>
      </c>
      <c r="I851" s="304">
        <f t="shared" ca="1" si="390"/>
        <v>124.05709874501831</v>
      </c>
      <c r="J851" s="306">
        <f t="shared" ca="1" si="391"/>
        <v>764.67878961306644</v>
      </c>
      <c r="K851" s="307">
        <f t="shared" ca="1" si="392"/>
        <v>-7.8471680464167246</v>
      </c>
      <c r="L851" s="304">
        <f t="shared" ca="1" si="377"/>
        <v>764.71905254835463</v>
      </c>
      <c r="M851" s="306">
        <f t="shared" ca="1" si="393"/>
        <v>-1.4623397553811956</v>
      </c>
      <c r="N851" s="304">
        <f t="shared" ca="1" si="394"/>
        <v>-83.78589619753572</v>
      </c>
      <c r="P851" s="310">
        <f t="shared" ca="1" si="395"/>
        <v>23</v>
      </c>
      <c r="Q851" s="304">
        <f t="shared" ca="1" si="396"/>
        <v>0</v>
      </c>
      <c r="R851" s="306">
        <f t="shared" ca="1" si="397"/>
        <v>0</v>
      </c>
      <c r="S851" s="307">
        <f t="shared" ca="1" si="398"/>
        <v>8.5499999999999989</v>
      </c>
      <c r="T851" s="304">
        <f t="shared" ca="1" si="378"/>
        <v>83.875499999999988</v>
      </c>
      <c r="U851" s="311">
        <f t="shared" ca="1" si="379"/>
        <v>0</v>
      </c>
      <c r="V851" s="306">
        <f t="shared" ca="1" si="380"/>
        <v>1.2259616553992623</v>
      </c>
      <c r="W851" s="304">
        <f t="shared" ca="1" si="381"/>
        <v>58.469151132901295</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2.9139023047173316</v>
      </c>
      <c r="AH851" s="304">
        <f t="shared" ca="1" si="405"/>
        <v>-6.8384566497521186</v>
      </c>
    </row>
    <row r="852" spans="1:34" x14ac:dyDescent="0.3">
      <c r="A852" s="347">
        <f t="shared" ca="1" si="383"/>
        <v>1E-4</v>
      </c>
      <c r="B852" s="304">
        <f t="shared" ca="1" si="384"/>
        <v>33.133700000001319</v>
      </c>
      <c r="D852" s="306">
        <f t="shared" ca="1" si="385"/>
        <v>-0.74022677351464794</v>
      </c>
      <c r="E852" s="307">
        <f t="shared" ca="1" si="386"/>
        <v>-3.0116834146388571</v>
      </c>
      <c r="F852" s="304">
        <f t="shared" ca="1" si="387"/>
        <v>3.1013178918386735</v>
      </c>
      <c r="G852" s="306">
        <f t="shared" ca="1" si="388"/>
        <v>13.428371311937363</v>
      </c>
      <c r="H852" s="307">
        <f t="shared" ca="1" si="389"/>
        <v>-123.32848369336892</v>
      </c>
      <c r="I852" s="304">
        <f t="shared" ca="1" si="390"/>
        <v>124.05739013132924</v>
      </c>
      <c r="J852" s="306">
        <f t="shared" ca="1" si="391"/>
        <v>764.67878961306644</v>
      </c>
      <c r="K852" s="307">
        <f t="shared" ca="1" si="392"/>
        <v>-7.8595008797276442</v>
      </c>
      <c r="L852" s="304">
        <f t="shared" ca="1" si="377"/>
        <v>764.71917920121678</v>
      </c>
      <c r="M852" s="306">
        <f t="shared" ca="1" si="393"/>
        <v>-1.4623406113353068</v>
      </c>
      <c r="N852" s="304">
        <f t="shared" ca="1" si="394"/>
        <v>-83.785945240093753</v>
      </c>
      <c r="P852" s="310">
        <f t="shared" ca="1" si="395"/>
        <v>23</v>
      </c>
      <c r="Q852" s="304">
        <f t="shared" ca="1" si="396"/>
        <v>0</v>
      </c>
      <c r="R852" s="306">
        <f t="shared" ca="1" si="397"/>
        <v>0</v>
      </c>
      <c r="S852" s="307">
        <f t="shared" ca="1" si="398"/>
        <v>8.5499999999999989</v>
      </c>
      <c r="T852" s="304">
        <f t="shared" ca="1" si="378"/>
        <v>83.875499999999988</v>
      </c>
      <c r="U852" s="311">
        <f t="shared" ca="1" si="379"/>
        <v>0</v>
      </c>
      <c r="V852" s="306">
        <f t="shared" ca="1" si="380"/>
        <v>1.2259631673585016</v>
      </c>
      <c r="W852" s="304">
        <f t="shared" ca="1" si="381"/>
        <v>58.469497908272182</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2.9138626548715356</v>
      </c>
      <c r="AH852" s="304">
        <f t="shared" ca="1" si="405"/>
        <v>-6.8384972085264684</v>
      </c>
    </row>
    <row r="853" spans="1:34" x14ac:dyDescent="0.3">
      <c r="A853" s="347">
        <f t="shared" ca="1" si="383"/>
        <v>1E-4</v>
      </c>
      <c r="B853" s="304">
        <f t="shared" ca="1" si="384"/>
        <v>33.133800000001322</v>
      </c>
      <c r="D853" s="306">
        <f t="shared" ca="1" si="385"/>
        <v>-0.74022534465244516</v>
      </c>
      <c r="E853" s="307">
        <f t="shared" ca="1" si="386"/>
        <v>-3.0116424608222561</v>
      </c>
      <c r="F853" s="304">
        <f t="shared" ca="1" si="387"/>
        <v>3.1012777806403227</v>
      </c>
      <c r="G853" s="306">
        <f t="shared" ca="1" si="388"/>
        <v>13.428297289402899</v>
      </c>
      <c r="H853" s="307">
        <f t="shared" ca="1" si="389"/>
        <v>-123.32878485761501</v>
      </c>
      <c r="I853" s="304">
        <f t="shared" ca="1" si="390"/>
        <v>124.05768151367522</v>
      </c>
      <c r="J853" s="306">
        <f t="shared" ca="1" si="391"/>
        <v>764.67878961306644</v>
      </c>
      <c r="K853" s="307">
        <f t="shared" ca="1" si="392"/>
        <v>-7.871833743155193</v>
      </c>
      <c r="L853" s="304">
        <f t="shared" ca="1" si="377"/>
        <v>764.71930605326304</v>
      </c>
      <c r="M853" s="306">
        <f t="shared" ca="1" si="393"/>
        <v>-1.4623414672806787</v>
      </c>
      <c r="N853" s="304">
        <f t="shared" ca="1" si="394"/>
        <v>-83.785994282151051</v>
      </c>
      <c r="P853" s="310">
        <f t="shared" ca="1" si="395"/>
        <v>23</v>
      </c>
      <c r="Q853" s="304">
        <f t="shared" ca="1" si="396"/>
        <v>0</v>
      </c>
      <c r="R853" s="306">
        <f t="shared" ca="1" si="397"/>
        <v>0</v>
      </c>
      <c r="S853" s="307">
        <f t="shared" ca="1" si="398"/>
        <v>8.5499999999999989</v>
      </c>
      <c r="T853" s="304">
        <f t="shared" ca="1" si="378"/>
        <v>83.875499999999988</v>
      </c>
      <c r="U853" s="311">
        <f t="shared" ca="1" si="379"/>
        <v>0</v>
      </c>
      <c r="V853" s="306">
        <f t="shared" ca="1" si="380"/>
        <v>1.2259646793232992</v>
      </c>
      <c r="W853" s="304">
        <f t="shared" ca="1" si="381"/>
        <v>58.469844681493321</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2.913823005260749</v>
      </c>
      <c r="AH853" s="304">
        <f t="shared" ca="1" si="405"/>
        <v>-6.8385377670493792</v>
      </c>
    </row>
    <row r="854" spans="1:34" x14ac:dyDescent="0.3">
      <c r="A854" s="347">
        <f t="shared" ca="1" si="383"/>
        <v>1E-4</v>
      </c>
      <c r="B854" s="304">
        <f t="shared" ca="1" si="384"/>
        <v>33.133900000001326</v>
      </c>
      <c r="D854" s="306">
        <f t="shared" ca="1" si="385"/>
        <v>-0.74022391575287261</v>
      </c>
      <c r="E854" s="307">
        <f t="shared" ca="1" si="386"/>
        <v>-3.0116015072595443</v>
      </c>
      <c r="F854" s="304">
        <f t="shared" ca="1" si="387"/>
        <v>3.1012376697022876</v>
      </c>
      <c r="G854" s="306">
        <f t="shared" ca="1" si="388"/>
        <v>13.428223267011324</v>
      </c>
      <c r="H854" s="307">
        <f t="shared" ca="1" si="389"/>
        <v>-123.32908601776573</v>
      </c>
      <c r="I854" s="304">
        <f t="shared" ca="1" si="390"/>
        <v>124.05797289205626</v>
      </c>
      <c r="J854" s="306">
        <f t="shared" ca="1" si="391"/>
        <v>764.67878961306644</v>
      </c>
      <c r="K854" s="307">
        <f t="shared" ca="1" si="392"/>
        <v>-7.8841666366989624</v>
      </c>
      <c r="L854" s="304">
        <f t="shared" ca="1" si="377"/>
        <v>764.71943310449456</v>
      </c>
      <c r="M854" s="306">
        <f t="shared" ca="1" si="393"/>
        <v>-1.4623423232173114</v>
      </c>
      <c r="N854" s="304">
        <f t="shared" ca="1" si="394"/>
        <v>-83.786043323707645</v>
      </c>
      <c r="P854" s="310">
        <f t="shared" ca="1" si="395"/>
        <v>23</v>
      </c>
      <c r="Q854" s="304">
        <f t="shared" ca="1" si="396"/>
        <v>0</v>
      </c>
      <c r="R854" s="306">
        <f t="shared" ca="1" si="397"/>
        <v>0</v>
      </c>
      <c r="S854" s="307">
        <f t="shared" ca="1" si="398"/>
        <v>8.5499999999999989</v>
      </c>
      <c r="T854" s="304">
        <f t="shared" ca="1" si="378"/>
        <v>83.875499999999988</v>
      </c>
      <c r="U854" s="311">
        <f t="shared" ca="1" si="379"/>
        <v>0</v>
      </c>
      <c r="V854" s="306">
        <f t="shared" ca="1" si="380"/>
        <v>1.2259661912936541</v>
      </c>
      <c r="W854" s="304">
        <f t="shared" ca="1" si="381"/>
        <v>58.470191452564634</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2.9137833558849726</v>
      </c>
      <c r="AH854" s="304">
        <f t="shared" ca="1" si="405"/>
        <v>-6.8385783253208574</v>
      </c>
    </row>
    <row r="855" spans="1:34" x14ac:dyDescent="0.3">
      <c r="A855" s="347">
        <f t="shared" ca="1" si="383"/>
        <v>1E-4</v>
      </c>
      <c r="B855" s="304">
        <f t="shared" ca="1" si="384"/>
        <v>33.134000000001329</v>
      </c>
      <c r="D855" s="306">
        <f t="shared" ca="1" si="385"/>
        <v>-0.74022248681593106</v>
      </c>
      <c r="E855" s="307">
        <f t="shared" ca="1" si="386"/>
        <v>-3.0115605539507317</v>
      </c>
      <c r="F855" s="304">
        <f t="shared" ca="1" si="387"/>
        <v>3.1011975590245777</v>
      </c>
      <c r="G855" s="306">
        <f t="shared" ca="1" si="388"/>
        <v>13.428149244762643</v>
      </c>
      <c r="H855" s="307">
        <f t="shared" ca="1" si="389"/>
        <v>-123.32938717382113</v>
      </c>
      <c r="I855" s="304">
        <f t="shared" ca="1" si="390"/>
        <v>124.05826426647238</v>
      </c>
      <c r="J855" s="306">
        <f t="shared" ca="1" si="391"/>
        <v>764.67878961306644</v>
      </c>
      <c r="K855" s="307">
        <f t="shared" ca="1" si="392"/>
        <v>-7.8964995603585422</v>
      </c>
      <c r="L855" s="304">
        <f t="shared" ca="1" si="377"/>
        <v>764.71956035491269</v>
      </c>
      <c r="M855" s="306">
        <f t="shared" ca="1" si="393"/>
        <v>-1.4623431791452053</v>
      </c>
      <c r="N855" s="304">
        <f t="shared" ca="1" si="394"/>
        <v>-83.786092364763533</v>
      </c>
      <c r="P855" s="310">
        <f t="shared" ca="1" si="395"/>
        <v>23</v>
      </c>
      <c r="Q855" s="304">
        <f t="shared" ca="1" si="396"/>
        <v>0</v>
      </c>
      <c r="R855" s="306">
        <f t="shared" ca="1" si="397"/>
        <v>0</v>
      </c>
      <c r="S855" s="307">
        <f t="shared" ca="1" si="398"/>
        <v>8.5499999999999989</v>
      </c>
      <c r="T855" s="304">
        <f t="shared" ca="1" si="378"/>
        <v>83.875499999999988</v>
      </c>
      <c r="U855" s="311">
        <f t="shared" ca="1" si="379"/>
        <v>0</v>
      </c>
      <c r="V855" s="306">
        <f t="shared" ca="1" si="380"/>
        <v>1.2259677032695664</v>
      </c>
      <c r="W855" s="304">
        <f t="shared" ca="1" si="381"/>
        <v>58.470538221486137</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2.9137437067442136</v>
      </c>
      <c r="AH855" s="304">
        <f t="shared" ca="1" si="405"/>
        <v>-6.8386188833408941</v>
      </c>
    </row>
    <row r="856" spans="1:34" x14ac:dyDescent="0.3">
      <c r="A856" s="347">
        <f t="shared" ca="1" si="383"/>
        <v>1E-4</v>
      </c>
      <c r="B856" s="304">
        <f t="shared" ca="1" si="384"/>
        <v>33.134100000001332</v>
      </c>
      <c r="D856" s="306">
        <f t="shared" ca="1" si="385"/>
        <v>-0.74022105784161951</v>
      </c>
      <c r="E856" s="307">
        <f t="shared" ca="1" si="386"/>
        <v>-3.0115196008958147</v>
      </c>
      <c r="F856" s="304">
        <f t="shared" ca="1" si="387"/>
        <v>3.1011574486071893</v>
      </c>
      <c r="G856" s="306">
        <f t="shared" ca="1" si="388"/>
        <v>13.42807522265686</v>
      </c>
      <c r="H856" s="307">
        <f t="shared" ca="1" si="389"/>
        <v>-123.32968832578122</v>
      </c>
      <c r="I856" s="304">
        <f t="shared" ca="1" si="390"/>
        <v>124.0585556369236</v>
      </c>
      <c r="J856" s="306">
        <f t="shared" ca="1" si="391"/>
        <v>764.67878961306644</v>
      </c>
      <c r="K856" s="307">
        <f t="shared" ca="1" si="392"/>
        <v>-7.9088325141335227</v>
      </c>
      <c r="L856" s="304">
        <f t="shared" ca="1" si="377"/>
        <v>764.71968780451891</v>
      </c>
      <c r="M856" s="306">
        <f t="shared" ca="1" si="393"/>
        <v>-1.4623440350643604</v>
      </c>
      <c r="N856" s="304">
        <f t="shared" ca="1" si="394"/>
        <v>-83.786141405318716</v>
      </c>
      <c r="P856" s="310">
        <f t="shared" ca="1" si="395"/>
        <v>23</v>
      </c>
      <c r="Q856" s="304">
        <f t="shared" ca="1" si="396"/>
        <v>0</v>
      </c>
      <c r="R856" s="306">
        <f t="shared" ca="1" si="397"/>
        <v>0</v>
      </c>
      <c r="S856" s="307">
        <f t="shared" ca="1" si="398"/>
        <v>8.5499999999999989</v>
      </c>
      <c r="T856" s="304">
        <f t="shared" ca="1" si="378"/>
        <v>83.875499999999988</v>
      </c>
      <c r="U856" s="311">
        <f t="shared" ca="1" si="379"/>
        <v>0</v>
      </c>
      <c r="V856" s="306">
        <f t="shared" ca="1" si="380"/>
        <v>1.2259692152510362</v>
      </c>
      <c r="W856" s="304">
        <f t="shared" ca="1" si="381"/>
        <v>58.470884988257794</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2.9137040578384701</v>
      </c>
      <c r="AH856" s="304">
        <f t="shared" ca="1" si="405"/>
        <v>-6.838659441109491</v>
      </c>
    </row>
    <row r="857" spans="1:34" x14ac:dyDescent="0.3">
      <c r="A857" s="347">
        <f t="shared" ca="1" si="383"/>
        <v>1E-4</v>
      </c>
      <c r="B857" s="304">
        <f t="shared" ca="1" si="384"/>
        <v>33.134200000001336</v>
      </c>
      <c r="D857" s="306">
        <f t="shared" ca="1" si="385"/>
        <v>-0.74021962882993897</v>
      </c>
      <c r="E857" s="307">
        <f t="shared" ca="1" si="386"/>
        <v>-3.0114786480947995</v>
      </c>
      <c r="F857" s="304">
        <f t="shared" ca="1" si="387"/>
        <v>3.1011173384501292</v>
      </c>
      <c r="G857" s="306">
        <f t="shared" ca="1" si="388"/>
        <v>13.428001200693977</v>
      </c>
      <c r="H857" s="307">
        <f t="shared" ca="1" si="389"/>
        <v>-123.32998947364602</v>
      </c>
      <c r="I857" s="304">
        <f t="shared" ca="1" si="390"/>
        <v>124.05884700340995</v>
      </c>
      <c r="J857" s="306">
        <f t="shared" ca="1" si="391"/>
        <v>764.67878961306644</v>
      </c>
      <c r="K857" s="307">
        <f t="shared" ca="1" si="392"/>
        <v>-7.9211654980234938</v>
      </c>
      <c r="L857" s="304">
        <f t="shared" ca="1" si="377"/>
        <v>764.71981545331448</v>
      </c>
      <c r="M857" s="306">
        <f t="shared" ca="1" si="393"/>
        <v>-1.4623448909747767</v>
      </c>
      <c r="N857" s="304">
        <f t="shared" ca="1" si="394"/>
        <v>-83.786190445373208</v>
      </c>
      <c r="P857" s="310">
        <f t="shared" ca="1" si="395"/>
        <v>23</v>
      </c>
      <c r="Q857" s="304">
        <f t="shared" ca="1" si="396"/>
        <v>0</v>
      </c>
      <c r="R857" s="306">
        <f t="shared" ca="1" si="397"/>
        <v>0</v>
      </c>
      <c r="S857" s="307">
        <f t="shared" ca="1" si="398"/>
        <v>8.5499999999999989</v>
      </c>
      <c r="T857" s="304">
        <f t="shared" ca="1" si="378"/>
        <v>83.875499999999988</v>
      </c>
      <c r="U857" s="311">
        <f t="shared" ca="1" si="379"/>
        <v>0</v>
      </c>
      <c r="V857" s="306">
        <f t="shared" ca="1" si="380"/>
        <v>1.2259707272380636</v>
      </c>
      <c r="W857" s="304">
        <f t="shared" ca="1" si="381"/>
        <v>58.471231752879611</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2.9136644091677448</v>
      </c>
      <c r="AH857" s="304">
        <f t="shared" ca="1" si="405"/>
        <v>-6.8386999986266437</v>
      </c>
    </row>
    <row r="858" spans="1:34" x14ac:dyDescent="0.3">
      <c r="A858" s="347">
        <f t="shared" ca="1" si="383"/>
        <v>1E-4</v>
      </c>
      <c r="B858" s="304">
        <f t="shared" ca="1" si="384"/>
        <v>33.134300000001339</v>
      </c>
      <c r="D858" s="306">
        <f t="shared" ca="1" si="385"/>
        <v>-0.74021819978089143</v>
      </c>
      <c r="E858" s="307">
        <f t="shared" ca="1" si="386"/>
        <v>-3.0114376955476843</v>
      </c>
      <c r="F858" s="304">
        <f t="shared" ca="1" si="387"/>
        <v>3.1010772285533958</v>
      </c>
      <c r="G858" s="306">
        <f t="shared" ca="1" si="388"/>
        <v>13.427927178873999</v>
      </c>
      <c r="H858" s="307">
        <f t="shared" ca="1" si="389"/>
        <v>-123.33029061741557</v>
      </c>
      <c r="I858" s="304">
        <f t="shared" ca="1" si="390"/>
        <v>124.05913836593145</v>
      </c>
      <c r="J858" s="306">
        <f t="shared" ca="1" si="391"/>
        <v>764.67878961306644</v>
      </c>
      <c r="K858" s="307">
        <f t="shared" ca="1" si="392"/>
        <v>-7.9334985120280468</v>
      </c>
      <c r="L858" s="304">
        <f t="shared" ca="1" si="377"/>
        <v>764.71994330130076</v>
      </c>
      <c r="M858" s="306">
        <f t="shared" ca="1" si="393"/>
        <v>-1.4623457468764547</v>
      </c>
      <c r="N858" s="304">
        <f t="shared" ca="1" si="394"/>
        <v>-83.786239484927037</v>
      </c>
      <c r="P858" s="310">
        <f t="shared" ca="1" si="395"/>
        <v>23</v>
      </c>
      <c r="Q858" s="304">
        <f t="shared" ca="1" si="396"/>
        <v>0</v>
      </c>
      <c r="R858" s="306">
        <f t="shared" ca="1" si="397"/>
        <v>0</v>
      </c>
      <c r="S858" s="307">
        <f t="shared" ca="1" si="398"/>
        <v>8.5499999999999989</v>
      </c>
      <c r="T858" s="304">
        <f t="shared" ca="1" si="378"/>
        <v>83.875499999999988</v>
      </c>
      <c r="U858" s="311">
        <f t="shared" ca="1" si="379"/>
        <v>0</v>
      </c>
      <c r="V858" s="306">
        <f t="shared" ca="1" si="380"/>
        <v>1.2259722392306482</v>
      </c>
      <c r="W858" s="304">
        <f t="shared" ca="1" si="381"/>
        <v>58.47157851535156</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2.9136247607320422</v>
      </c>
      <c r="AH858" s="304">
        <f t="shared" ca="1" si="405"/>
        <v>-6.8387405558923531</v>
      </c>
    </row>
    <row r="859" spans="1:34" x14ac:dyDescent="0.3">
      <c r="A859" s="347">
        <f t="shared" ca="1" si="383"/>
        <v>1E-4</v>
      </c>
      <c r="B859" s="304">
        <f t="shared" ca="1" si="384"/>
        <v>33.134400000001342</v>
      </c>
      <c r="D859" s="306">
        <f t="shared" ca="1" si="385"/>
        <v>-0.74021677069447522</v>
      </c>
      <c r="E859" s="307">
        <f t="shared" ca="1" si="386"/>
        <v>-3.0113967432544735</v>
      </c>
      <c r="F859" s="304">
        <f t="shared" ca="1" si="387"/>
        <v>3.101037118916993</v>
      </c>
      <c r="G859" s="306">
        <f t="shared" ca="1" si="388"/>
        <v>13.42785315719693</v>
      </c>
      <c r="H859" s="307">
        <f t="shared" ca="1" si="389"/>
        <v>-123.33059175708989</v>
      </c>
      <c r="I859" s="304">
        <f t="shared" ca="1" si="390"/>
        <v>124.05942972448814</v>
      </c>
      <c r="J859" s="306">
        <f t="shared" ca="1" si="391"/>
        <v>764.67878961306644</v>
      </c>
      <c r="K859" s="307">
        <f t="shared" ca="1" si="392"/>
        <v>-7.9458315561467723</v>
      </c>
      <c r="L859" s="304">
        <f t="shared" ca="1" si="377"/>
        <v>764.72007134847911</v>
      </c>
      <c r="M859" s="306">
        <f t="shared" ca="1" si="393"/>
        <v>-1.4623466027693941</v>
      </c>
      <c r="N859" s="304">
        <f t="shared" ca="1" si="394"/>
        <v>-83.78628852398019</v>
      </c>
      <c r="P859" s="310">
        <f t="shared" ca="1" si="395"/>
        <v>23</v>
      </c>
      <c r="Q859" s="304">
        <f t="shared" ca="1" si="396"/>
        <v>0</v>
      </c>
      <c r="R859" s="306">
        <f t="shared" ca="1" si="397"/>
        <v>0</v>
      </c>
      <c r="S859" s="307">
        <f t="shared" ca="1" si="398"/>
        <v>8.5499999999999989</v>
      </c>
      <c r="T859" s="304">
        <f t="shared" ca="1" si="378"/>
        <v>83.875499999999988</v>
      </c>
      <c r="U859" s="311">
        <f t="shared" ca="1" si="379"/>
        <v>0</v>
      </c>
      <c r="V859" s="306">
        <f t="shared" ca="1" si="380"/>
        <v>1.22597375122879</v>
      </c>
      <c r="W859" s="304">
        <f t="shared" ca="1" si="381"/>
        <v>58.471925275673655</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2.9135851125313623</v>
      </c>
      <c r="AH859" s="304">
        <f t="shared" ca="1" si="405"/>
        <v>-6.8387811129066156</v>
      </c>
    </row>
    <row r="860" spans="1:34" x14ac:dyDescent="0.3">
      <c r="A860" s="347">
        <f t="shared" ca="1" si="383"/>
        <v>1E-4</v>
      </c>
      <c r="B860" s="304">
        <f t="shared" ca="1" si="384"/>
        <v>33.134500000001346</v>
      </c>
      <c r="D860" s="306">
        <f t="shared" ca="1" si="385"/>
        <v>-0.74021534157069357</v>
      </c>
      <c r="E860" s="307">
        <f t="shared" ca="1" si="386"/>
        <v>-3.0113557912151636</v>
      </c>
      <c r="F860" s="304">
        <f t="shared" ca="1" si="387"/>
        <v>3.1009970095409192</v>
      </c>
      <c r="G860" s="306">
        <f t="shared" ca="1" si="388"/>
        <v>13.427779135662773</v>
      </c>
      <c r="H860" s="307">
        <f t="shared" ca="1" si="389"/>
        <v>-123.33089289266901</v>
      </c>
      <c r="I860" s="304">
        <f t="shared" ca="1" si="390"/>
        <v>124.05972107908003</v>
      </c>
      <c r="J860" s="306">
        <f t="shared" ca="1" si="391"/>
        <v>764.67878961306644</v>
      </c>
      <c r="K860" s="307">
        <f t="shared" ca="1" si="392"/>
        <v>-7.9581646303792599</v>
      </c>
      <c r="L860" s="304">
        <f t="shared" ca="1" si="377"/>
        <v>764.7201995948509</v>
      </c>
      <c r="M860" s="306">
        <f t="shared" ca="1" si="393"/>
        <v>-1.4623474586535952</v>
      </c>
      <c r="N860" s="304">
        <f t="shared" ca="1" si="394"/>
        <v>-83.786337562532651</v>
      </c>
      <c r="P860" s="310">
        <f t="shared" ca="1" si="395"/>
        <v>23</v>
      </c>
      <c r="Q860" s="304">
        <f t="shared" ca="1" si="396"/>
        <v>0</v>
      </c>
      <c r="R860" s="306">
        <f t="shared" ca="1" si="397"/>
        <v>0</v>
      </c>
      <c r="S860" s="307">
        <f t="shared" ca="1" si="398"/>
        <v>8.5499999999999989</v>
      </c>
      <c r="T860" s="304">
        <f t="shared" ca="1" si="378"/>
        <v>83.875499999999988</v>
      </c>
      <c r="U860" s="311">
        <f t="shared" ca="1" si="379"/>
        <v>0</v>
      </c>
      <c r="V860" s="306">
        <f t="shared" ca="1" si="380"/>
        <v>1.2259752632324894</v>
      </c>
      <c r="W860" s="304">
        <f t="shared" ca="1" si="381"/>
        <v>58.472272033845869</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2.9135454645657042</v>
      </c>
      <c r="AH860" s="304">
        <f t="shared" ca="1" si="405"/>
        <v>-6.8388216696694339</v>
      </c>
    </row>
    <row r="861" spans="1:34" x14ac:dyDescent="0.3">
      <c r="A861" s="347">
        <f t="shared" ca="1" si="383"/>
        <v>1E-4</v>
      </c>
      <c r="B861" s="304">
        <f t="shared" ca="1" si="384"/>
        <v>33.134600000001349</v>
      </c>
      <c r="D861" s="306">
        <f t="shared" ca="1" si="385"/>
        <v>-0.74021391240954659</v>
      </c>
      <c r="E861" s="307">
        <f t="shared" ca="1" si="386"/>
        <v>-3.0113148394297582</v>
      </c>
      <c r="F861" s="304">
        <f t="shared" ca="1" si="387"/>
        <v>3.1009569004251767</v>
      </c>
      <c r="G861" s="306">
        <f t="shared" ca="1" si="388"/>
        <v>13.427705114271532</v>
      </c>
      <c r="H861" s="307">
        <f t="shared" ca="1" si="389"/>
        <v>-123.33119402415295</v>
      </c>
      <c r="I861" s="304">
        <f t="shared" ca="1" si="390"/>
        <v>124.06001242970716</v>
      </c>
      <c r="J861" s="306">
        <f t="shared" ca="1" si="391"/>
        <v>764.67878961306644</v>
      </c>
      <c r="K861" s="307">
        <f t="shared" ca="1" si="392"/>
        <v>-7.9704977347251011</v>
      </c>
      <c r="L861" s="304">
        <f t="shared" ca="1" si="377"/>
        <v>764.72032804041737</v>
      </c>
      <c r="M861" s="306">
        <f t="shared" ca="1" si="393"/>
        <v>-1.4623483145290583</v>
      </c>
      <c r="N861" s="304">
        <f t="shared" ca="1" si="394"/>
        <v>-83.786386600584478</v>
      </c>
      <c r="P861" s="310">
        <f t="shared" ca="1" si="395"/>
        <v>23</v>
      </c>
      <c r="Q861" s="304">
        <f t="shared" ca="1" si="396"/>
        <v>0</v>
      </c>
      <c r="R861" s="306">
        <f t="shared" ca="1" si="397"/>
        <v>0</v>
      </c>
      <c r="S861" s="307">
        <f t="shared" ca="1" si="398"/>
        <v>8.5499999999999989</v>
      </c>
      <c r="T861" s="304">
        <f t="shared" ca="1" si="378"/>
        <v>83.875499999999988</v>
      </c>
      <c r="U861" s="311">
        <f t="shared" ca="1" si="379"/>
        <v>0</v>
      </c>
      <c r="V861" s="306">
        <f t="shared" ca="1" si="380"/>
        <v>1.2259767752417465</v>
      </c>
      <c r="W861" s="304">
        <f t="shared" ca="1" si="381"/>
        <v>58.472618789868214</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2.9135058168350678</v>
      </c>
      <c r="AH861" s="304">
        <f t="shared" ca="1" si="405"/>
        <v>-6.8388622261808045</v>
      </c>
    </row>
    <row r="862" spans="1:34" x14ac:dyDescent="0.3">
      <c r="A862" s="347">
        <f t="shared" ca="1" si="383"/>
        <v>1E-4</v>
      </c>
      <c r="B862" s="304">
        <f t="shared" ca="1" si="384"/>
        <v>33.134700000001352</v>
      </c>
      <c r="D862" s="306">
        <f t="shared" ca="1" si="385"/>
        <v>-0.74021248321103283</v>
      </c>
      <c r="E862" s="307">
        <f t="shared" ca="1" si="386"/>
        <v>-3.0112738878982572</v>
      </c>
      <c r="F862" s="304">
        <f t="shared" ca="1" si="387"/>
        <v>3.1009167915697655</v>
      </c>
      <c r="G862" s="306">
        <f t="shared" ca="1" si="388"/>
        <v>13.42763109302321</v>
      </c>
      <c r="H862" s="307">
        <f t="shared" ca="1" si="389"/>
        <v>-123.33149515154174</v>
      </c>
      <c r="I862" s="304">
        <f t="shared" ca="1" si="390"/>
        <v>124.06030377636954</v>
      </c>
      <c r="J862" s="306">
        <f t="shared" ca="1" si="391"/>
        <v>764.67878961306644</v>
      </c>
      <c r="K862" s="307">
        <f t="shared" ca="1" si="392"/>
        <v>-7.9828308691838856</v>
      </c>
      <c r="L862" s="304">
        <f t="shared" ca="1" si="377"/>
        <v>764.72045668518001</v>
      </c>
      <c r="M862" s="306">
        <f t="shared" ca="1" si="393"/>
        <v>-1.4623491703957834</v>
      </c>
      <c r="N862" s="304">
        <f t="shared" ca="1" si="394"/>
        <v>-83.786435638135657</v>
      </c>
      <c r="P862" s="310">
        <f t="shared" ca="1" si="395"/>
        <v>23</v>
      </c>
      <c r="Q862" s="304">
        <f t="shared" ca="1" si="396"/>
        <v>0</v>
      </c>
      <c r="R862" s="306">
        <f t="shared" ca="1" si="397"/>
        <v>0</v>
      </c>
      <c r="S862" s="307">
        <f t="shared" ca="1" si="398"/>
        <v>8.5499999999999989</v>
      </c>
      <c r="T862" s="304">
        <f t="shared" ca="1" si="378"/>
        <v>83.875499999999988</v>
      </c>
      <c r="U862" s="311">
        <f t="shared" ca="1" si="379"/>
        <v>0</v>
      </c>
      <c r="V862" s="306">
        <f t="shared" ca="1" si="380"/>
        <v>1.2259782872565606</v>
      </c>
      <c r="W862" s="304">
        <f t="shared" ca="1" si="381"/>
        <v>58.472965543740628</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2.9134661693394621</v>
      </c>
      <c r="AH862" s="304">
        <f t="shared" ca="1" si="405"/>
        <v>-6.8389027824407274</v>
      </c>
    </row>
    <row r="863" spans="1:34" x14ac:dyDescent="0.3">
      <c r="A863" s="347">
        <f t="shared" ca="1" si="383"/>
        <v>1E-4</v>
      </c>
      <c r="B863" s="304">
        <f t="shared" ca="1" si="384"/>
        <v>33.134800000001356</v>
      </c>
      <c r="D863" s="306">
        <f t="shared" ca="1" si="385"/>
        <v>-0.74021105397515508</v>
      </c>
      <c r="E863" s="307">
        <f t="shared" ca="1" si="386"/>
        <v>-3.0112329366206678</v>
      </c>
      <c r="F863" s="304">
        <f t="shared" ca="1" si="387"/>
        <v>3.1008766829746937</v>
      </c>
      <c r="G863" s="306">
        <f t="shared" ca="1" si="388"/>
        <v>13.427557071917812</v>
      </c>
      <c r="H863" s="307">
        <f t="shared" ca="1" si="389"/>
        <v>-123.33179627483541</v>
      </c>
      <c r="I863" s="304">
        <f t="shared" ca="1" si="390"/>
        <v>124.06059511906719</v>
      </c>
      <c r="J863" s="306">
        <f t="shared" ca="1" si="391"/>
        <v>764.67878961306644</v>
      </c>
      <c r="K863" s="307">
        <f t="shared" ca="1" si="392"/>
        <v>-7.9951640337552048</v>
      </c>
      <c r="L863" s="304">
        <f t="shared" ca="1" si="377"/>
        <v>764.72058552914018</v>
      </c>
      <c r="M863" s="306">
        <f t="shared" ca="1" si="393"/>
        <v>-1.4623500262537705</v>
      </c>
      <c r="N863" s="304">
        <f t="shared" ca="1" si="394"/>
        <v>-83.786484675186188</v>
      </c>
      <c r="P863" s="310">
        <f t="shared" ca="1" si="395"/>
        <v>23</v>
      </c>
      <c r="Q863" s="304">
        <f t="shared" ca="1" si="396"/>
        <v>0</v>
      </c>
      <c r="R863" s="306">
        <f t="shared" ca="1" si="397"/>
        <v>0</v>
      </c>
      <c r="S863" s="307">
        <f t="shared" ca="1" si="398"/>
        <v>8.5499999999999989</v>
      </c>
      <c r="T863" s="304">
        <f t="shared" ca="1" si="378"/>
        <v>83.875499999999988</v>
      </c>
      <c r="U863" s="311">
        <f t="shared" ca="1" si="379"/>
        <v>0</v>
      </c>
      <c r="V863" s="306">
        <f t="shared" ca="1" si="380"/>
        <v>1.2259797992769323</v>
      </c>
      <c r="W863" s="304">
        <f t="shared" ca="1" si="381"/>
        <v>58.473312295463153</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2.9134265220788853</v>
      </c>
      <c r="AH863" s="304">
        <f t="shared" ca="1" si="405"/>
        <v>-6.8389433384491971</v>
      </c>
    </row>
    <row r="864" spans="1:34" x14ac:dyDescent="0.3">
      <c r="A864" s="347">
        <f t="shared" ca="1" si="383"/>
        <v>1E-4</v>
      </c>
      <c r="B864" s="304">
        <f t="shared" ca="1" si="384"/>
        <v>33.134900000001359</v>
      </c>
      <c r="D864" s="306">
        <f t="shared" ca="1" si="385"/>
        <v>-0.74020962470191365</v>
      </c>
      <c r="E864" s="307">
        <f t="shared" ca="1" si="386"/>
        <v>-3.0111919855969838</v>
      </c>
      <c r="F864" s="304">
        <f t="shared" ca="1" si="387"/>
        <v>3.1008365746399558</v>
      </c>
      <c r="G864" s="306">
        <f t="shared" ca="1" si="388"/>
        <v>13.427483050955342</v>
      </c>
      <c r="H864" s="307">
        <f t="shared" ca="1" si="389"/>
        <v>-123.33209739403397</v>
      </c>
      <c r="I864" s="304">
        <f t="shared" ca="1" si="390"/>
        <v>124.06088645780011</v>
      </c>
      <c r="J864" s="306">
        <f t="shared" ca="1" si="391"/>
        <v>764.67878961306644</v>
      </c>
      <c r="K864" s="307">
        <f t="shared" ca="1" si="392"/>
        <v>-8.0074972284386483</v>
      </c>
      <c r="L864" s="304">
        <f t="shared" ca="1" si="377"/>
        <v>764.72071457229913</v>
      </c>
      <c r="M864" s="306">
        <f t="shared" ca="1" si="393"/>
        <v>-1.4623508821030202</v>
      </c>
      <c r="N864" s="304">
        <f t="shared" ca="1" si="394"/>
        <v>-83.786533711736084</v>
      </c>
      <c r="P864" s="310">
        <f t="shared" ca="1" si="395"/>
        <v>23</v>
      </c>
      <c r="Q864" s="304">
        <f t="shared" ca="1" si="396"/>
        <v>0</v>
      </c>
      <c r="R864" s="306">
        <f t="shared" ca="1" si="397"/>
        <v>0</v>
      </c>
      <c r="S864" s="307">
        <f t="shared" ca="1" si="398"/>
        <v>8.5499999999999989</v>
      </c>
      <c r="T864" s="304">
        <f t="shared" ca="1" si="378"/>
        <v>83.875499999999988</v>
      </c>
      <c r="U864" s="311">
        <f t="shared" ca="1" si="379"/>
        <v>0</v>
      </c>
      <c r="V864" s="306">
        <f t="shared" ca="1" si="380"/>
        <v>1.2259813113028606</v>
      </c>
      <c r="W864" s="304">
        <f t="shared" ca="1" si="381"/>
        <v>58.473659045035667</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2.9133868750533374</v>
      </c>
      <c r="AH864" s="304">
        <f t="shared" ca="1" si="405"/>
        <v>-6.8389838942062173</v>
      </c>
    </row>
    <row r="865" spans="1:34" x14ac:dyDescent="0.3">
      <c r="A865" s="347">
        <f t="shared" ca="1" si="383"/>
        <v>1E-4</v>
      </c>
      <c r="B865" s="304">
        <f t="shared" ca="1" si="384"/>
        <v>33.135000000001362</v>
      </c>
      <c r="D865" s="306">
        <f t="shared" ca="1" si="385"/>
        <v>-0.740208195391306</v>
      </c>
      <c r="E865" s="307">
        <f t="shared" ca="1" si="386"/>
        <v>-3.0111510348272201</v>
      </c>
      <c r="F865" s="304">
        <f t="shared" ca="1" si="387"/>
        <v>3.1007964665655647</v>
      </c>
      <c r="G865" s="306">
        <f t="shared" ca="1" si="388"/>
        <v>13.427409030135802</v>
      </c>
      <c r="H865" s="307">
        <f t="shared" ca="1" si="389"/>
        <v>-123.33239850913745</v>
      </c>
      <c r="I865" s="304">
        <f t="shared" ca="1" si="390"/>
        <v>124.06117779256837</v>
      </c>
      <c r="J865" s="306">
        <f t="shared" ca="1" si="391"/>
        <v>764.67878961306644</v>
      </c>
      <c r="K865" s="307">
        <f t="shared" ca="1" si="392"/>
        <v>-8.0198304532338067</v>
      </c>
      <c r="L865" s="304">
        <f t="shared" ca="1" si="377"/>
        <v>764.72084381465822</v>
      </c>
      <c r="M865" s="306">
        <f t="shared" ca="1" si="393"/>
        <v>-1.462351737943532</v>
      </c>
      <c r="N865" s="304">
        <f t="shared" ca="1" si="394"/>
        <v>-83.786582747785346</v>
      </c>
      <c r="P865" s="310">
        <f t="shared" ca="1" si="395"/>
        <v>23</v>
      </c>
      <c r="Q865" s="304">
        <f t="shared" ca="1" si="396"/>
        <v>0</v>
      </c>
      <c r="R865" s="306">
        <f t="shared" ca="1" si="397"/>
        <v>0</v>
      </c>
      <c r="S865" s="307">
        <f t="shared" ca="1" si="398"/>
        <v>8.5499999999999989</v>
      </c>
      <c r="T865" s="304">
        <f t="shared" ca="1" si="378"/>
        <v>83.875499999999988</v>
      </c>
      <c r="U865" s="311">
        <f t="shared" ca="1" si="379"/>
        <v>0</v>
      </c>
      <c r="V865" s="306">
        <f t="shared" ca="1" si="380"/>
        <v>1.2259828233343466</v>
      </c>
      <c r="W865" s="304">
        <f t="shared" ca="1" si="381"/>
        <v>58.474005792458293</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2.9133472282628317</v>
      </c>
      <c r="AH865" s="304">
        <f t="shared" ca="1" si="405"/>
        <v>-6.8390244497117747</v>
      </c>
    </row>
    <row r="866" spans="1:34" x14ac:dyDescent="0.3">
      <c r="A866" s="347">
        <f t="shared" ca="1" si="383"/>
        <v>1E-4</v>
      </c>
      <c r="B866" s="304">
        <f t="shared" ca="1" si="384"/>
        <v>33.135100000001366</v>
      </c>
      <c r="D866" s="306">
        <f t="shared" ca="1" si="385"/>
        <v>-0.74020676604333846</v>
      </c>
      <c r="E866" s="307">
        <f t="shared" ca="1" si="386"/>
        <v>-3.0111100843113627</v>
      </c>
      <c r="F866" s="304">
        <f t="shared" ca="1" si="387"/>
        <v>3.1007563587515095</v>
      </c>
      <c r="G866" s="306">
        <f t="shared" ca="1" si="388"/>
        <v>13.427335009459197</v>
      </c>
      <c r="H866" s="307">
        <f t="shared" ca="1" si="389"/>
        <v>-123.33269962014587</v>
      </c>
      <c r="I866" s="304">
        <f t="shared" ca="1" si="390"/>
        <v>124.06146912337198</v>
      </c>
      <c r="J866" s="306">
        <f t="shared" ca="1" si="391"/>
        <v>764.67878961306644</v>
      </c>
      <c r="K866" s="307">
        <f t="shared" ca="1" si="392"/>
        <v>-8.0321637081402706</v>
      </c>
      <c r="L866" s="304">
        <f t="shared" ca="1" si="377"/>
        <v>764.72097325621894</v>
      </c>
      <c r="M866" s="306">
        <f t="shared" ca="1" si="393"/>
        <v>-1.4623525937753066</v>
      </c>
      <c r="N866" s="304">
        <f t="shared" ca="1" si="394"/>
        <v>-83.786631783334002</v>
      </c>
      <c r="P866" s="310">
        <f t="shared" ca="1" si="395"/>
        <v>23</v>
      </c>
      <c r="Q866" s="304">
        <f t="shared" ca="1" si="396"/>
        <v>0</v>
      </c>
      <c r="R866" s="306">
        <f t="shared" ca="1" si="397"/>
        <v>0</v>
      </c>
      <c r="S866" s="307">
        <f t="shared" ca="1" si="398"/>
        <v>8.5499999999999989</v>
      </c>
      <c r="T866" s="304">
        <f t="shared" ca="1" si="378"/>
        <v>83.875499999999988</v>
      </c>
      <c r="U866" s="311">
        <f t="shared" ca="1" si="379"/>
        <v>0</v>
      </c>
      <c r="V866" s="306">
        <f t="shared" ca="1" si="380"/>
        <v>1.2259843353713895</v>
      </c>
      <c r="W866" s="304">
        <f t="shared" ca="1" si="381"/>
        <v>58.474352537730944</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2.9133075817073522</v>
      </c>
      <c r="AH866" s="304">
        <f t="shared" ca="1" si="405"/>
        <v>-6.8390650049658834</v>
      </c>
    </row>
    <row r="867" spans="1:34" x14ac:dyDescent="0.3">
      <c r="A867" s="347">
        <f t="shared" ca="1" si="383"/>
        <v>1E-4</v>
      </c>
      <c r="B867" s="304">
        <f t="shared" ca="1" si="384"/>
        <v>33.135200000001369</v>
      </c>
      <c r="D867" s="306">
        <f t="shared" ca="1" si="385"/>
        <v>-0.7402053366580067</v>
      </c>
      <c r="E867" s="307">
        <f t="shared" ca="1" si="386"/>
        <v>-3.0110691340494213</v>
      </c>
      <c r="F867" s="304">
        <f t="shared" ca="1" si="387"/>
        <v>3.1007162511977979</v>
      </c>
      <c r="G867" s="306">
        <f t="shared" ca="1" si="388"/>
        <v>13.427260988925532</v>
      </c>
      <c r="H867" s="307">
        <f t="shared" ca="1" si="389"/>
        <v>-123.33300072705929</v>
      </c>
      <c r="I867" s="304">
        <f t="shared" ca="1" si="390"/>
        <v>124.06176045021095</v>
      </c>
      <c r="J867" s="306">
        <f t="shared" ca="1" si="391"/>
        <v>764.67878961306644</v>
      </c>
      <c r="K867" s="307">
        <f t="shared" ca="1" si="392"/>
        <v>-8.0444969931576313</v>
      </c>
      <c r="L867" s="304">
        <f t="shared" ca="1" si="377"/>
        <v>764.72110289698253</v>
      </c>
      <c r="M867" s="306">
        <f t="shared" ca="1" si="393"/>
        <v>-1.4623534495983437</v>
      </c>
      <c r="N867" s="304">
        <f t="shared" ca="1" si="394"/>
        <v>-83.786680818382038</v>
      </c>
      <c r="P867" s="310">
        <f t="shared" ca="1" si="395"/>
        <v>23</v>
      </c>
      <c r="Q867" s="304">
        <f t="shared" ca="1" si="396"/>
        <v>0</v>
      </c>
      <c r="R867" s="306">
        <f t="shared" ca="1" si="397"/>
        <v>0</v>
      </c>
      <c r="S867" s="307">
        <f t="shared" ca="1" si="398"/>
        <v>8.5499999999999989</v>
      </c>
      <c r="T867" s="304">
        <f t="shared" ca="1" si="378"/>
        <v>83.875499999999988</v>
      </c>
      <c r="U867" s="311">
        <f t="shared" ca="1" si="379"/>
        <v>0</v>
      </c>
      <c r="V867" s="306">
        <f t="shared" ca="1" si="380"/>
        <v>1.2259858474139895</v>
      </c>
      <c r="W867" s="304">
        <f t="shared" ca="1" si="381"/>
        <v>58.474699280853606</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2.9132679353869158</v>
      </c>
      <c r="AH867" s="304">
        <f t="shared" ca="1" si="405"/>
        <v>-6.839105559968532</v>
      </c>
    </row>
    <row r="868" spans="1:34" x14ac:dyDescent="0.3">
      <c r="A868" s="347">
        <f t="shared" ca="1" si="383"/>
        <v>1E-4</v>
      </c>
      <c r="B868" s="304">
        <f t="shared" ca="1" si="384"/>
        <v>33.135300000001372</v>
      </c>
      <c r="D868" s="306">
        <f t="shared" ca="1" si="385"/>
        <v>-0.74020390723531426</v>
      </c>
      <c r="E868" s="307">
        <f t="shared" ca="1" si="386"/>
        <v>-3.0110281840413968</v>
      </c>
      <c r="F868" s="304">
        <f t="shared" ca="1" si="387"/>
        <v>3.1006761439044319</v>
      </c>
      <c r="G868" s="306">
        <f t="shared" ca="1" si="388"/>
        <v>13.427186968534809</v>
      </c>
      <c r="H868" s="307">
        <f t="shared" ca="1" si="389"/>
        <v>-123.33330182987768</v>
      </c>
      <c r="I868" s="304">
        <f t="shared" ca="1" si="390"/>
        <v>124.06205177308532</v>
      </c>
      <c r="J868" s="306">
        <f t="shared" ca="1" si="391"/>
        <v>764.67878961306644</v>
      </c>
      <c r="K868" s="307">
        <f t="shared" ca="1" si="392"/>
        <v>-8.0568303082854786</v>
      </c>
      <c r="L868" s="304">
        <f t="shared" ca="1" si="377"/>
        <v>764.72123273695024</v>
      </c>
      <c r="M868" s="306">
        <f t="shared" ca="1" si="393"/>
        <v>-1.4623543054126436</v>
      </c>
      <c r="N868" s="304">
        <f t="shared" ca="1" si="394"/>
        <v>-83.786729852929469</v>
      </c>
      <c r="P868" s="310">
        <f t="shared" ca="1" si="395"/>
        <v>23</v>
      </c>
      <c r="Q868" s="304">
        <f t="shared" ca="1" si="396"/>
        <v>0</v>
      </c>
      <c r="R868" s="306">
        <f t="shared" ca="1" si="397"/>
        <v>0</v>
      </c>
      <c r="S868" s="307">
        <f t="shared" ca="1" si="398"/>
        <v>8.5499999999999989</v>
      </c>
      <c r="T868" s="304">
        <f t="shared" ca="1" si="378"/>
        <v>83.875499999999988</v>
      </c>
      <c r="U868" s="311">
        <f t="shared" ca="1" si="379"/>
        <v>0</v>
      </c>
      <c r="V868" s="306">
        <f t="shared" ca="1" si="380"/>
        <v>1.2259873594621469</v>
      </c>
      <c r="W868" s="304">
        <f t="shared" ca="1" si="381"/>
        <v>58.475046021826302</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2.9132282893015162</v>
      </c>
      <c r="AH868" s="304">
        <f t="shared" ca="1" si="405"/>
        <v>-6.8391461147197212</v>
      </c>
    </row>
    <row r="869" spans="1:34" x14ac:dyDescent="0.3">
      <c r="A869" s="347">
        <f t="shared" ca="1" si="383"/>
        <v>1E-4</v>
      </c>
      <c r="B869" s="304">
        <f t="shared" ca="1" si="384"/>
        <v>33.135400000001376</v>
      </c>
      <c r="D869" s="306">
        <f t="shared" ca="1" si="385"/>
        <v>-0.74020247777526127</v>
      </c>
      <c r="E869" s="307">
        <f t="shared" ca="1" si="386"/>
        <v>-3.0109872342872892</v>
      </c>
      <c r="F869" s="304">
        <f t="shared" ca="1" si="387"/>
        <v>3.1006360368714119</v>
      </c>
      <c r="G869" s="306">
        <f t="shared" ca="1" si="388"/>
        <v>13.42711294828703</v>
      </c>
      <c r="H869" s="307">
        <f t="shared" ca="1" si="389"/>
        <v>-123.33360292860111</v>
      </c>
      <c r="I869" s="304">
        <f t="shared" ca="1" si="390"/>
        <v>124.06234309199509</v>
      </c>
      <c r="J869" s="306">
        <f t="shared" ca="1" si="391"/>
        <v>764.67878961306644</v>
      </c>
      <c r="K869" s="307">
        <f t="shared" ca="1" si="392"/>
        <v>-8.0691636535234021</v>
      </c>
      <c r="L869" s="304">
        <f t="shared" ca="1" si="377"/>
        <v>764.72136277612367</v>
      </c>
      <c r="M869" s="306">
        <f t="shared" ca="1" si="393"/>
        <v>-1.4623551612182066</v>
      </c>
      <c r="N869" s="304">
        <f t="shared" ca="1" si="394"/>
        <v>-83.786778886976322</v>
      </c>
      <c r="P869" s="310">
        <f t="shared" ca="1" si="395"/>
        <v>23</v>
      </c>
      <c r="Q869" s="304">
        <f t="shared" ca="1" si="396"/>
        <v>0</v>
      </c>
      <c r="R869" s="306">
        <f t="shared" ca="1" si="397"/>
        <v>0</v>
      </c>
      <c r="S869" s="307">
        <f t="shared" ca="1" si="398"/>
        <v>8.5499999999999989</v>
      </c>
      <c r="T869" s="304">
        <f t="shared" ca="1" si="378"/>
        <v>83.875499999999988</v>
      </c>
      <c r="U869" s="311">
        <f t="shared" ca="1" si="379"/>
        <v>0</v>
      </c>
      <c r="V869" s="306">
        <f t="shared" ca="1" si="380"/>
        <v>1.2259888715158613</v>
      </c>
      <c r="W869" s="304">
        <f t="shared" ca="1" si="381"/>
        <v>58.475392760648987</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2.9131886434511571</v>
      </c>
      <c r="AH869" s="304">
        <f t="shared" ca="1" si="405"/>
        <v>-6.8391866692194512</v>
      </c>
    </row>
    <row r="870" spans="1:34" x14ac:dyDescent="0.3">
      <c r="A870" s="347">
        <f t="shared" ca="1" si="383"/>
        <v>1E-4</v>
      </c>
      <c r="B870" s="304">
        <f t="shared" ca="1" si="384"/>
        <v>33.135500000001379</v>
      </c>
      <c r="D870" s="306">
        <f t="shared" ca="1" si="385"/>
        <v>-0.74020104827784605</v>
      </c>
      <c r="E870" s="307">
        <f t="shared" ca="1" si="386"/>
        <v>-3.0109462847871002</v>
      </c>
      <c r="F870" s="304">
        <f t="shared" ca="1" si="387"/>
        <v>3.1005959300987391</v>
      </c>
      <c r="G870" s="306">
        <f t="shared" ca="1" si="388"/>
        <v>13.427038928182203</v>
      </c>
      <c r="H870" s="307">
        <f t="shared" ca="1" si="389"/>
        <v>-123.33390402322959</v>
      </c>
      <c r="I870" s="304">
        <f t="shared" ca="1" si="390"/>
        <v>124.0626344069403</v>
      </c>
      <c r="J870" s="306">
        <f t="shared" ca="1" si="391"/>
        <v>764.67878961306644</v>
      </c>
      <c r="K870" s="307">
        <f t="shared" ca="1" si="392"/>
        <v>-8.0814970288709933</v>
      </c>
      <c r="L870" s="304">
        <f t="shared" ca="1" si="377"/>
        <v>764.72149301450395</v>
      </c>
      <c r="M870" s="306">
        <f t="shared" ca="1" si="393"/>
        <v>-1.4623560170150327</v>
      </c>
      <c r="N870" s="304">
        <f t="shared" ca="1" si="394"/>
        <v>-83.786827920522569</v>
      </c>
      <c r="P870" s="310">
        <f t="shared" ca="1" si="395"/>
        <v>23</v>
      </c>
      <c r="Q870" s="304">
        <f t="shared" ca="1" si="396"/>
        <v>0</v>
      </c>
      <c r="R870" s="306">
        <f t="shared" ca="1" si="397"/>
        <v>0</v>
      </c>
      <c r="S870" s="307">
        <f t="shared" ca="1" si="398"/>
        <v>8.5499999999999989</v>
      </c>
      <c r="T870" s="304">
        <f t="shared" ca="1" si="378"/>
        <v>83.875499999999988</v>
      </c>
      <c r="U870" s="311">
        <f t="shared" ca="1" si="379"/>
        <v>0</v>
      </c>
      <c r="V870" s="306">
        <f t="shared" ca="1" si="380"/>
        <v>1.2259903835751327</v>
      </c>
      <c r="W870" s="304">
        <f t="shared" ca="1" si="381"/>
        <v>58.475739497321648</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2.913148997835842</v>
      </c>
      <c r="AH870" s="304">
        <f t="shared" ca="1" si="405"/>
        <v>-6.8392272234677183</v>
      </c>
    </row>
    <row r="871" spans="1:34" x14ac:dyDescent="0.3">
      <c r="A871" s="347">
        <f t="shared" ca="1" si="383"/>
        <v>1E-4</v>
      </c>
      <c r="B871" s="304">
        <f t="shared" ca="1" si="384"/>
        <v>33.135600000001382</v>
      </c>
      <c r="D871" s="306">
        <f t="shared" ca="1" si="385"/>
        <v>-0.7401996187430715</v>
      </c>
      <c r="E871" s="307">
        <f t="shared" ca="1" si="386"/>
        <v>-3.0109053355408344</v>
      </c>
      <c r="F871" s="304">
        <f t="shared" ca="1" si="387"/>
        <v>3.1005558235864186</v>
      </c>
      <c r="G871" s="306">
        <f t="shared" ca="1" si="388"/>
        <v>13.426964908220329</v>
      </c>
      <c r="H871" s="307">
        <f t="shared" ca="1" si="389"/>
        <v>-123.33420511376315</v>
      </c>
      <c r="I871" s="304">
        <f t="shared" ca="1" si="390"/>
        <v>124.06292571792098</v>
      </c>
      <c r="J871" s="306">
        <f t="shared" ca="1" si="391"/>
        <v>764.67878961306644</v>
      </c>
      <c r="K871" s="307">
        <f t="shared" ca="1" si="392"/>
        <v>-8.0938304343278435</v>
      </c>
      <c r="L871" s="304">
        <f t="shared" ca="1" si="377"/>
        <v>764.72162345209256</v>
      </c>
      <c r="M871" s="306">
        <f t="shared" ca="1" si="393"/>
        <v>-1.462356872803122</v>
      </c>
      <c r="N871" s="304">
        <f t="shared" ca="1" si="394"/>
        <v>-83.786876953568253</v>
      </c>
      <c r="P871" s="310">
        <f t="shared" ca="1" si="395"/>
        <v>23</v>
      </c>
      <c r="Q871" s="304">
        <f t="shared" ca="1" si="396"/>
        <v>0</v>
      </c>
      <c r="R871" s="306">
        <f t="shared" ca="1" si="397"/>
        <v>0</v>
      </c>
      <c r="S871" s="307">
        <f t="shared" ca="1" si="398"/>
        <v>8.5499999999999989</v>
      </c>
      <c r="T871" s="304">
        <f t="shared" ca="1" si="378"/>
        <v>83.875499999999988</v>
      </c>
      <c r="U871" s="311">
        <f t="shared" ca="1" si="379"/>
        <v>0</v>
      </c>
      <c r="V871" s="306">
        <f t="shared" ca="1" si="380"/>
        <v>1.2259918956399614</v>
      </c>
      <c r="W871" s="304">
        <f t="shared" ca="1" si="381"/>
        <v>58.476086231844299</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2.9131093524555727</v>
      </c>
      <c r="AH871" s="304">
        <f t="shared" ca="1" si="405"/>
        <v>-6.8392677774645207</v>
      </c>
    </row>
    <row r="872" spans="1:34" x14ac:dyDescent="0.3">
      <c r="A872" s="347">
        <f t="shared" ca="1" si="383"/>
        <v>1E-4</v>
      </c>
      <c r="B872" s="304">
        <f t="shared" ca="1" si="384"/>
        <v>33.135700000001385</v>
      </c>
      <c r="D872" s="306">
        <f t="shared" ca="1" si="385"/>
        <v>-0.74019818917093827</v>
      </c>
      <c r="E872" s="307">
        <f t="shared" ca="1" si="386"/>
        <v>-3.0108643865484881</v>
      </c>
      <c r="F872" s="304">
        <f t="shared" ca="1" si="387"/>
        <v>3.1005157173344471</v>
      </c>
      <c r="G872" s="306">
        <f t="shared" ca="1" si="388"/>
        <v>13.426890888401411</v>
      </c>
      <c r="H872" s="307">
        <f t="shared" ca="1" si="389"/>
        <v>-123.3345062002018</v>
      </c>
      <c r="I872" s="304">
        <f t="shared" ca="1" si="390"/>
        <v>124.06321702493715</v>
      </c>
      <c r="J872" s="306">
        <f t="shared" ca="1" si="391"/>
        <v>764.67878961306644</v>
      </c>
      <c r="K872" s="307">
        <f t="shared" ca="1" si="392"/>
        <v>-8.1061638698935425</v>
      </c>
      <c r="L872" s="304">
        <f t="shared" ca="1" si="377"/>
        <v>764.72175408889075</v>
      </c>
      <c r="M872" s="306">
        <f t="shared" ca="1" si="393"/>
        <v>-1.4623577285824747</v>
      </c>
      <c r="N872" s="304">
        <f t="shared" ca="1" si="394"/>
        <v>-83.78692598611336</v>
      </c>
      <c r="P872" s="310">
        <f t="shared" ca="1" si="395"/>
        <v>23</v>
      </c>
      <c r="Q872" s="304">
        <f t="shared" ca="1" si="396"/>
        <v>0</v>
      </c>
      <c r="R872" s="306">
        <f t="shared" ca="1" si="397"/>
        <v>0</v>
      </c>
      <c r="S872" s="307">
        <f t="shared" ca="1" si="398"/>
        <v>8.5499999999999989</v>
      </c>
      <c r="T872" s="304">
        <f t="shared" ca="1" si="378"/>
        <v>83.875499999999988</v>
      </c>
      <c r="U872" s="311">
        <f t="shared" ca="1" si="379"/>
        <v>0</v>
      </c>
      <c r="V872" s="306">
        <f t="shared" ca="1" si="380"/>
        <v>1.2259934077103463</v>
      </c>
      <c r="W872" s="304">
        <f t="shared" ca="1" si="381"/>
        <v>58.476432964216876</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2.9130697073103473</v>
      </c>
      <c r="AH872" s="304">
        <f t="shared" ca="1" si="405"/>
        <v>-6.8393083312098604</v>
      </c>
    </row>
    <row r="873" spans="1:34" x14ac:dyDescent="0.3">
      <c r="A873" s="347">
        <f t="shared" ca="1" si="383"/>
        <v>1E-4</v>
      </c>
      <c r="B873" s="304">
        <f t="shared" ca="1" si="384"/>
        <v>33.135800000001389</v>
      </c>
      <c r="D873" s="306">
        <f t="shared" ca="1" si="385"/>
        <v>-0.74019675956144548</v>
      </c>
      <c r="E873" s="307">
        <f t="shared" ca="1" si="386"/>
        <v>-3.0108234378100702</v>
      </c>
      <c r="F873" s="304">
        <f t="shared" ca="1" si="387"/>
        <v>3.1004756113428327</v>
      </c>
      <c r="G873" s="306">
        <f t="shared" ca="1" si="388"/>
        <v>13.426816868725455</v>
      </c>
      <c r="H873" s="307">
        <f t="shared" ca="1" si="389"/>
        <v>-123.33480728254558</v>
      </c>
      <c r="I873" s="304">
        <f t="shared" ca="1" si="390"/>
        <v>124.06350832798881</v>
      </c>
      <c r="J873" s="306">
        <f t="shared" ca="1" si="391"/>
        <v>764.67878961306644</v>
      </c>
      <c r="K873" s="307">
        <f t="shared" ca="1" si="392"/>
        <v>-8.1184973355676799</v>
      </c>
      <c r="L873" s="304">
        <f t="shared" ca="1" si="377"/>
        <v>764.72188492489988</v>
      </c>
      <c r="M873" s="306">
        <f t="shared" ca="1" si="393"/>
        <v>-1.4623585843530909</v>
      </c>
      <c r="N873" s="304">
        <f t="shared" ca="1" si="394"/>
        <v>-83.786975018157889</v>
      </c>
      <c r="P873" s="310">
        <f t="shared" ca="1" si="395"/>
        <v>23</v>
      </c>
      <c r="Q873" s="304">
        <f t="shared" ca="1" si="396"/>
        <v>0</v>
      </c>
      <c r="R873" s="306">
        <f t="shared" ca="1" si="397"/>
        <v>0</v>
      </c>
      <c r="S873" s="307">
        <f t="shared" ca="1" si="398"/>
        <v>8.5499999999999989</v>
      </c>
      <c r="T873" s="304">
        <f t="shared" ca="1" si="378"/>
        <v>83.875499999999988</v>
      </c>
      <c r="U873" s="311">
        <f t="shared" ca="1" si="379"/>
        <v>0</v>
      </c>
      <c r="V873" s="306">
        <f t="shared" ca="1" si="380"/>
        <v>1.2259949197862887</v>
      </c>
      <c r="W873" s="304">
        <f t="shared" ca="1" si="381"/>
        <v>58.476779694439415</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2.9130300624001757</v>
      </c>
      <c r="AH873" s="304">
        <f t="shared" ca="1" si="405"/>
        <v>-6.8393488847037291</v>
      </c>
    </row>
    <row r="874" spans="1:34" x14ac:dyDescent="0.3">
      <c r="A874" s="347">
        <f t="shared" ca="1" si="383"/>
        <v>1E-4</v>
      </c>
      <c r="B874" s="304">
        <f t="shared" ca="1" si="384"/>
        <v>33.135900000001392</v>
      </c>
      <c r="D874" s="306">
        <f t="shared" ca="1" si="385"/>
        <v>-0.74019532991459536</v>
      </c>
      <c r="E874" s="307">
        <f t="shared" ca="1" si="386"/>
        <v>-3.0107824893255755</v>
      </c>
      <c r="F874" s="304">
        <f t="shared" ca="1" si="387"/>
        <v>3.1004355056115722</v>
      </c>
      <c r="G874" s="306">
        <f t="shared" ca="1" si="388"/>
        <v>13.426742849192463</v>
      </c>
      <c r="H874" s="307">
        <f t="shared" ca="1" si="389"/>
        <v>-123.33510836079452</v>
      </c>
      <c r="I874" s="304">
        <f t="shared" ca="1" si="390"/>
        <v>124.06379962707602</v>
      </c>
      <c r="J874" s="306">
        <f t="shared" ca="1" si="391"/>
        <v>764.67878961306644</v>
      </c>
      <c r="K874" s="307">
        <f t="shared" ca="1" si="392"/>
        <v>-8.1308308313498472</v>
      </c>
      <c r="L874" s="304">
        <f t="shared" ca="1" si="377"/>
        <v>764.72201596012155</v>
      </c>
      <c r="M874" s="306">
        <f t="shared" ca="1" si="393"/>
        <v>-1.4623594401149707</v>
      </c>
      <c r="N874" s="304">
        <f t="shared" ca="1" si="394"/>
        <v>-83.78702404970187</v>
      </c>
      <c r="P874" s="310">
        <f t="shared" ca="1" si="395"/>
        <v>23</v>
      </c>
      <c r="Q874" s="304">
        <f t="shared" ca="1" si="396"/>
        <v>0</v>
      </c>
      <c r="R874" s="306">
        <f t="shared" ca="1" si="397"/>
        <v>0</v>
      </c>
      <c r="S874" s="307">
        <f t="shared" ca="1" si="398"/>
        <v>8.5499999999999989</v>
      </c>
      <c r="T874" s="304">
        <f t="shared" ca="1" si="378"/>
        <v>83.875499999999988</v>
      </c>
      <c r="U874" s="311">
        <f t="shared" ca="1" si="379"/>
        <v>0</v>
      </c>
      <c r="V874" s="306">
        <f t="shared" ca="1" si="380"/>
        <v>1.2259964318677881</v>
      </c>
      <c r="W874" s="304">
        <f t="shared" ca="1" si="381"/>
        <v>58.477126422511894</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2.9129904177250516</v>
      </c>
      <c r="AH874" s="304">
        <f t="shared" ca="1" si="405"/>
        <v>-6.8393894379461315</v>
      </c>
    </row>
    <row r="875" spans="1:34" x14ac:dyDescent="0.3">
      <c r="A875" s="347">
        <f t="shared" ca="1" si="383"/>
        <v>1E-4</v>
      </c>
      <c r="B875" s="304">
        <f t="shared" ca="1" si="384"/>
        <v>33.136000000001395</v>
      </c>
      <c r="D875" s="306">
        <f t="shared" ca="1" si="385"/>
        <v>-0.74019390023038789</v>
      </c>
      <c r="E875" s="307">
        <f t="shared" ca="1" si="386"/>
        <v>-3.0107415410950074</v>
      </c>
      <c r="F875" s="304">
        <f t="shared" ca="1" si="387"/>
        <v>3.1003954001406679</v>
      </c>
      <c r="G875" s="306">
        <f t="shared" ca="1" si="388"/>
        <v>13.426668829802439</v>
      </c>
      <c r="H875" s="307">
        <f t="shared" ca="1" si="389"/>
        <v>-123.33540943494863</v>
      </c>
      <c r="I875" s="304">
        <f t="shared" ca="1" si="390"/>
        <v>124.06409092219877</v>
      </c>
      <c r="J875" s="306">
        <f t="shared" ca="1" si="391"/>
        <v>764.67878961306644</v>
      </c>
      <c r="K875" s="307">
        <f t="shared" ca="1" si="392"/>
        <v>-8.1431643572396339</v>
      </c>
      <c r="L875" s="304">
        <f t="shared" ca="1" si="377"/>
        <v>764.72214719455678</v>
      </c>
      <c r="M875" s="306">
        <f t="shared" ca="1" si="393"/>
        <v>-1.4623602958681143</v>
      </c>
      <c r="N875" s="304">
        <f t="shared" ca="1" si="394"/>
        <v>-83.787073080745316</v>
      </c>
      <c r="P875" s="310">
        <f t="shared" ca="1" si="395"/>
        <v>23</v>
      </c>
      <c r="Q875" s="304">
        <f t="shared" ca="1" si="396"/>
        <v>0</v>
      </c>
      <c r="R875" s="306">
        <f t="shared" ca="1" si="397"/>
        <v>0</v>
      </c>
      <c r="S875" s="307">
        <f t="shared" ca="1" si="398"/>
        <v>8.5499999999999989</v>
      </c>
      <c r="T875" s="304">
        <f t="shared" ca="1" si="378"/>
        <v>83.875499999999988</v>
      </c>
      <c r="U875" s="311">
        <f t="shared" ca="1" si="379"/>
        <v>0</v>
      </c>
      <c r="V875" s="306">
        <f t="shared" ca="1" si="380"/>
        <v>1.2259979439548441</v>
      </c>
      <c r="W875" s="304">
        <f t="shared" ca="1" si="381"/>
        <v>58.477473148434271</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2.9129507732849795</v>
      </c>
      <c r="AH875" s="304">
        <f t="shared" ca="1" si="405"/>
        <v>-6.8394299909370648</v>
      </c>
    </row>
    <row r="876" spans="1:34" x14ac:dyDescent="0.3">
      <c r="A876" s="347">
        <f t="shared" ca="1" si="383"/>
        <v>1E-4</v>
      </c>
      <c r="B876" s="304">
        <f t="shared" ca="1" si="384"/>
        <v>33.136100000001399</v>
      </c>
      <c r="D876" s="306">
        <f t="shared" ca="1" si="385"/>
        <v>-0.74019247050882264</v>
      </c>
      <c r="E876" s="307">
        <f t="shared" ca="1" si="386"/>
        <v>-3.0107005931183695</v>
      </c>
      <c r="F876" s="304">
        <f t="shared" ca="1" si="387"/>
        <v>3.1003552949301243</v>
      </c>
      <c r="G876" s="306">
        <f t="shared" ca="1" si="388"/>
        <v>13.426594810555388</v>
      </c>
      <c r="H876" s="307">
        <f t="shared" ca="1" si="389"/>
        <v>-123.33571050500794</v>
      </c>
      <c r="I876" s="304">
        <f t="shared" ca="1" si="390"/>
        <v>124.06438221335711</v>
      </c>
      <c r="J876" s="306">
        <f t="shared" ca="1" si="391"/>
        <v>764.67878961306644</v>
      </c>
      <c r="K876" s="307">
        <f t="shared" ca="1" si="392"/>
        <v>-8.1554979132366316</v>
      </c>
      <c r="L876" s="304">
        <f t="shared" ca="1" si="377"/>
        <v>764.72227862820705</v>
      </c>
      <c r="M876" s="306">
        <f t="shared" ca="1" si="393"/>
        <v>-1.4623611516125219</v>
      </c>
      <c r="N876" s="304">
        <f t="shared" ca="1" si="394"/>
        <v>-83.787122111288198</v>
      </c>
      <c r="P876" s="310">
        <f t="shared" ca="1" si="395"/>
        <v>23</v>
      </c>
      <c r="Q876" s="304">
        <f t="shared" ca="1" si="396"/>
        <v>0</v>
      </c>
      <c r="R876" s="306">
        <f t="shared" ca="1" si="397"/>
        <v>0</v>
      </c>
      <c r="S876" s="307">
        <f t="shared" ca="1" si="398"/>
        <v>8.5499999999999989</v>
      </c>
      <c r="T876" s="304">
        <f t="shared" ca="1" si="378"/>
        <v>83.875499999999988</v>
      </c>
      <c r="U876" s="311">
        <f t="shared" ca="1" si="379"/>
        <v>0</v>
      </c>
      <c r="V876" s="306">
        <f t="shared" ca="1" si="380"/>
        <v>1.2259994560474572</v>
      </c>
      <c r="W876" s="304">
        <f t="shared" ca="1" si="381"/>
        <v>58.47781987220656</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2.9129111290799665</v>
      </c>
      <c r="AH876" s="304">
        <f t="shared" ca="1" si="405"/>
        <v>-6.8394705436765237</v>
      </c>
    </row>
    <row r="877" spans="1:34" x14ac:dyDescent="0.3">
      <c r="A877" s="347">
        <f t="shared" ca="1" si="383"/>
        <v>1E-4</v>
      </c>
      <c r="B877" s="304">
        <f t="shared" ca="1" si="384"/>
        <v>33.136200000001402</v>
      </c>
      <c r="D877" s="306">
        <f t="shared" ca="1" si="385"/>
        <v>-0.74019104074990161</v>
      </c>
      <c r="E877" s="307">
        <f t="shared" ca="1" si="386"/>
        <v>-3.0106596453956618</v>
      </c>
      <c r="F877" s="304">
        <f t="shared" ca="1" si="387"/>
        <v>3.1003151899799408</v>
      </c>
      <c r="G877" s="306">
        <f t="shared" ca="1" si="388"/>
        <v>13.426520791451313</v>
      </c>
      <c r="H877" s="307">
        <f t="shared" ca="1" si="389"/>
        <v>-123.33601157097247</v>
      </c>
      <c r="I877" s="304">
        <f t="shared" ca="1" si="390"/>
        <v>124.06467350055102</v>
      </c>
      <c r="J877" s="306">
        <f t="shared" ca="1" si="391"/>
        <v>764.67878961306644</v>
      </c>
      <c r="K877" s="307">
        <f t="shared" ca="1" si="392"/>
        <v>-8.16783149934043</v>
      </c>
      <c r="L877" s="304">
        <f t="shared" ca="1" si="377"/>
        <v>764.72241026107372</v>
      </c>
      <c r="M877" s="306">
        <f t="shared" ca="1" si="393"/>
        <v>-1.4623620073481933</v>
      </c>
      <c r="N877" s="304">
        <f t="shared" ca="1" si="394"/>
        <v>-83.78717114133056</v>
      </c>
      <c r="P877" s="310">
        <f t="shared" ca="1" si="395"/>
        <v>23</v>
      </c>
      <c r="Q877" s="304">
        <f t="shared" ca="1" si="396"/>
        <v>0</v>
      </c>
      <c r="R877" s="306">
        <f t="shared" ca="1" si="397"/>
        <v>0</v>
      </c>
      <c r="S877" s="307">
        <f t="shared" ca="1" si="398"/>
        <v>8.5499999999999989</v>
      </c>
      <c r="T877" s="304">
        <f t="shared" ca="1" si="378"/>
        <v>83.875499999999988</v>
      </c>
      <c r="U877" s="311">
        <f t="shared" ca="1" si="379"/>
        <v>0</v>
      </c>
      <c r="V877" s="306">
        <f t="shared" ca="1" si="380"/>
        <v>1.2260009681456268</v>
      </c>
      <c r="W877" s="304">
        <f t="shared" ca="1" si="381"/>
        <v>58.478166593828725</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2.9128714851100082</v>
      </c>
      <c r="AH877" s="304">
        <f t="shared" ca="1" si="405"/>
        <v>-6.8395110961645109</v>
      </c>
    </row>
    <row r="878" spans="1:34" x14ac:dyDescent="0.3">
      <c r="A878" s="347">
        <f t="shared" ca="1" si="383"/>
        <v>1E-4</v>
      </c>
      <c r="B878" s="304">
        <f t="shared" ca="1" si="384"/>
        <v>33.136300000001405</v>
      </c>
      <c r="D878" s="306">
        <f t="shared" ca="1" si="385"/>
        <v>-0.7401896109536259</v>
      </c>
      <c r="E878" s="307">
        <f t="shared" ca="1" si="386"/>
        <v>-3.0106186979268887</v>
      </c>
      <c r="F878" s="304">
        <f t="shared" ca="1" si="387"/>
        <v>3.1002750852901224</v>
      </c>
      <c r="G878" s="306">
        <f t="shared" ca="1" si="388"/>
        <v>13.426446772490218</v>
      </c>
      <c r="H878" s="307">
        <f t="shared" ca="1" si="389"/>
        <v>-123.33631263284227</v>
      </c>
      <c r="I878" s="304">
        <f t="shared" ca="1" si="390"/>
        <v>124.0649647837806</v>
      </c>
      <c r="J878" s="306">
        <f t="shared" ca="1" si="391"/>
        <v>764.67878961306644</v>
      </c>
      <c r="K878" s="307">
        <f t="shared" ca="1" si="392"/>
        <v>-8.1801651155506203</v>
      </c>
      <c r="L878" s="304">
        <f t="shared" ca="1" si="377"/>
        <v>764.72254209315815</v>
      </c>
      <c r="M878" s="306">
        <f t="shared" ca="1" si="393"/>
        <v>-1.4623628630751293</v>
      </c>
      <c r="N878" s="304">
        <f t="shared" ca="1" si="394"/>
        <v>-83.787220170872402</v>
      </c>
      <c r="P878" s="310">
        <f t="shared" ca="1" si="395"/>
        <v>23</v>
      </c>
      <c r="Q878" s="304">
        <f t="shared" ca="1" si="396"/>
        <v>0</v>
      </c>
      <c r="R878" s="306">
        <f t="shared" ca="1" si="397"/>
        <v>0</v>
      </c>
      <c r="S878" s="307">
        <f t="shared" ca="1" si="398"/>
        <v>8.5499999999999989</v>
      </c>
      <c r="T878" s="304">
        <f t="shared" ca="1" si="378"/>
        <v>83.875499999999988</v>
      </c>
      <c r="U878" s="311">
        <f t="shared" ca="1" si="379"/>
        <v>0</v>
      </c>
      <c r="V878" s="306">
        <f t="shared" ca="1" si="380"/>
        <v>1.2260024802493534</v>
      </c>
      <c r="W878" s="304">
        <f t="shared" ca="1" si="381"/>
        <v>58.478513313300795</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2.912831841375108</v>
      </c>
      <c r="AH878" s="304">
        <f t="shared" ca="1" si="405"/>
        <v>-6.839551648401021</v>
      </c>
    </row>
    <row r="879" spans="1:34" x14ac:dyDescent="0.3">
      <c r="A879" s="347">
        <f t="shared" ca="1" si="383"/>
        <v>1E-4</v>
      </c>
      <c r="B879" s="304">
        <f t="shared" ca="1" si="384"/>
        <v>33.136400000001409</v>
      </c>
      <c r="D879" s="306">
        <f t="shared" ca="1" si="385"/>
        <v>-0.74018818111999318</v>
      </c>
      <c r="E879" s="307">
        <f t="shared" ca="1" si="386"/>
        <v>-3.010577750712045</v>
      </c>
      <c r="F879" s="304">
        <f t="shared" ca="1" si="387"/>
        <v>3.1002349808606637</v>
      </c>
      <c r="G879" s="306">
        <f t="shared" ca="1" si="388"/>
        <v>13.426372753672107</v>
      </c>
      <c r="H879" s="307">
        <f t="shared" ca="1" si="389"/>
        <v>-123.33661369061734</v>
      </c>
      <c r="I879" s="304">
        <f t="shared" ca="1" si="390"/>
        <v>124.06525606304581</v>
      </c>
      <c r="J879" s="306">
        <f t="shared" ca="1" si="391"/>
        <v>764.67878961306644</v>
      </c>
      <c r="K879" s="307">
        <f t="shared" ca="1" si="392"/>
        <v>-8.1924987618667942</v>
      </c>
      <c r="L879" s="304">
        <f t="shared" ca="1" si="377"/>
        <v>764.72267412446161</v>
      </c>
      <c r="M879" s="306">
        <f t="shared" ca="1" si="393"/>
        <v>-1.4623637187933294</v>
      </c>
      <c r="N879" s="304">
        <f t="shared" ca="1" si="394"/>
        <v>-83.787269199913723</v>
      </c>
      <c r="P879" s="310">
        <f t="shared" ca="1" si="395"/>
        <v>23</v>
      </c>
      <c r="Q879" s="304">
        <f t="shared" ca="1" si="396"/>
        <v>0</v>
      </c>
      <c r="R879" s="306">
        <f t="shared" ca="1" si="397"/>
        <v>0</v>
      </c>
      <c r="S879" s="307">
        <f t="shared" ca="1" si="398"/>
        <v>8.5499999999999989</v>
      </c>
      <c r="T879" s="304">
        <f t="shared" ca="1" si="378"/>
        <v>83.875499999999988</v>
      </c>
      <c r="U879" s="311">
        <f t="shared" ca="1" si="379"/>
        <v>0</v>
      </c>
      <c r="V879" s="306">
        <f t="shared" ca="1" si="380"/>
        <v>1.2260039923586366</v>
      </c>
      <c r="W879" s="304">
        <f t="shared" ca="1" si="381"/>
        <v>58.478860030622698</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2.9127921978752669</v>
      </c>
      <c r="AH879" s="304">
        <f t="shared" ca="1" si="405"/>
        <v>-6.8395922003860585</v>
      </c>
    </row>
    <row r="880" spans="1:34" x14ac:dyDescent="0.3">
      <c r="A880" s="347">
        <f t="shared" ca="1" si="383"/>
        <v>1E-4</v>
      </c>
      <c r="B880" s="304">
        <f t="shared" ca="1" si="384"/>
        <v>33.136500000001412</v>
      </c>
      <c r="D880" s="306">
        <f t="shared" ca="1" si="385"/>
        <v>-0.74018675124900746</v>
      </c>
      <c r="E880" s="307">
        <f t="shared" ca="1" si="386"/>
        <v>-3.0105368037511395</v>
      </c>
      <c r="F880" s="304">
        <f t="shared" ca="1" si="387"/>
        <v>3.1001948766915746</v>
      </c>
      <c r="G880" s="306">
        <f t="shared" ca="1" si="388"/>
        <v>13.426298734996982</v>
      </c>
      <c r="H880" s="307">
        <f t="shared" ca="1" si="389"/>
        <v>-123.33691474429772</v>
      </c>
      <c r="I880" s="304">
        <f t="shared" ca="1" si="390"/>
        <v>124.06554733834669</v>
      </c>
      <c r="J880" s="306">
        <f t="shared" ca="1" si="391"/>
        <v>764.67878961306644</v>
      </c>
      <c r="K880" s="307">
        <f t="shared" ca="1" si="392"/>
        <v>-8.2048324382885394</v>
      </c>
      <c r="L880" s="304">
        <f t="shared" ca="1" si="377"/>
        <v>764.72280635498555</v>
      </c>
      <c r="M880" s="306">
        <f t="shared" ca="1" si="393"/>
        <v>-1.4623645745027938</v>
      </c>
      <c r="N880" s="304">
        <f t="shared" ca="1" si="394"/>
        <v>-83.787318228454524</v>
      </c>
      <c r="P880" s="310">
        <f t="shared" ca="1" si="395"/>
        <v>23</v>
      </c>
      <c r="Q880" s="304">
        <f t="shared" ca="1" si="396"/>
        <v>0</v>
      </c>
      <c r="R880" s="306">
        <f t="shared" ca="1" si="397"/>
        <v>0</v>
      </c>
      <c r="S880" s="307">
        <f t="shared" ca="1" si="398"/>
        <v>8.5499999999999989</v>
      </c>
      <c r="T880" s="304">
        <f t="shared" ca="1" si="378"/>
        <v>83.875499999999988</v>
      </c>
      <c r="U880" s="311">
        <f t="shared" ca="1" si="379"/>
        <v>0</v>
      </c>
      <c r="V880" s="306">
        <f t="shared" ca="1" si="380"/>
        <v>1.2260055044734766</v>
      </c>
      <c r="W880" s="304">
        <f t="shared" ca="1" si="381"/>
        <v>58.479206745794464</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2.912752554610492</v>
      </c>
      <c r="AH880" s="304">
        <f t="shared" ca="1" si="405"/>
        <v>-6.8396327521196145</v>
      </c>
    </row>
    <row r="881" spans="1:34" x14ac:dyDescent="0.3">
      <c r="A881" s="347">
        <f t="shared" ca="1" si="383"/>
        <v>1E-4</v>
      </c>
      <c r="B881" s="304">
        <f t="shared" ca="1" si="384"/>
        <v>33.136600000001415</v>
      </c>
      <c r="D881" s="306">
        <f t="shared" ca="1" si="385"/>
        <v>-0.74018532134066894</v>
      </c>
      <c r="E881" s="307">
        <f t="shared" ca="1" si="386"/>
        <v>-3.0104958570441696</v>
      </c>
      <c r="F881" s="304">
        <f t="shared" ca="1" si="387"/>
        <v>3.1001547727828527</v>
      </c>
      <c r="G881" s="306">
        <f t="shared" ca="1" si="388"/>
        <v>13.426224716464848</v>
      </c>
      <c r="H881" s="307">
        <f t="shared" ca="1" si="389"/>
        <v>-123.33721579388342</v>
      </c>
      <c r="I881" s="304">
        <f t="shared" ca="1" si="390"/>
        <v>124.06583860968327</v>
      </c>
      <c r="J881" s="306">
        <f t="shared" ca="1" si="391"/>
        <v>764.67878961306644</v>
      </c>
      <c r="K881" s="307">
        <f t="shared" ca="1" si="392"/>
        <v>-8.2171661448154492</v>
      </c>
      <c r="L881" s="304">
        <f t="shared" ca="1" si="377"/>
        <v>764.72293878473124</v>
      </c>
      <c r="M881" s="306">
        <f t="shared" ca="1" si="393"/>
        <v>-1.4623654302035232</v>
      </c>
      <c r="N881" s="304">
        <f t="shared" ca="1" si="394"/>
        <v>-83.787367256494846</v>
      </c>
      <c r="P881" s="310">
        <f t="shared" ca="1" si="395"/>
        <v>23</v>
      </c>
      <c r="Q881" s="304">
        <f t="shared" ca="1" si="396"/>
        <v>0</v>
      </c>
      <c r="R881" s="306">
        <f t="shared" ca="1" si="397"/>
        <v>0</v>
      </c>
      <c r="S881" s="307">
        <f t="shared" ca="1" si="398"/>
        <v>8.5499999999999989</v>
      </c>
      <c r="T881" s="304">
        <f t="shared" ca="1" si="378"/>
        <v>83.875499999999988</v>
      </c>
      <c r="U881" s="311">
        <f t="shared" ca="1" si="379"/>
        <v>0</v>
      </c>
      <c r="V881" s="306">
        <f t="shared" ca="1" si="380"/>
        <v>1.2260070165938732</v>
      </c>
      <c r="W881" s="304">
        <f t="shared" ca="1" si="381"/>
        <v>58.479553458816063</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2.9127129115807779</v>
      </c>
      <c r="AH881" s="304">
        <f t="shared" ca="1" si="405"/>
        <v>-6.8396733036016926</v>
      </c>
    </row>
    <row r="882" spans="1:34" x14ac:dyDescent="0.3">
      <c r="A882" s="347">
        <f t="shared" ca="1" si="383"/>
        <v>1E-4</v>
      </c>
      <c r="B882" s="304">
        <f t="shared" ca="1" si="384"/>
        <v>33.136700000001419</v>
      </c>
      <c r="D882" s="306">
        <f t="shared" ca="1" si="385"/>
        <v>-0.74018389139497465</v>
      </c>
      <c r="E882" s="307">
        <f t="shared" ca="1" si="386"/>
        <v>-3.0104549105911387</v>
      </c>
      <c r="F882" s="304">
        <f t="shared" ca="1" si="387"/>
        <v>3.1001146691344998</v>
      </c>
      <c r="G882" s="306">
        <f t="shared" ca="1" si="388"/>
        <v>13.426150698075709</v>
      </c>
      <c r="H882" s="307">
        <f t="shared" ca="1" si="389"/>
        <v>-123.33751683937447</v>
      </c>
      <c r="I882" s="304">
        <f t="shared" ca="1" si="390"/>
        <v>124.06612987705557</v>
      </c>
      <c r="J882" s="306">
        <f t="shared" ca="1" si="391"/>
        <v>764.67878961306644</v>
      </c>
      <c r="K882" s="307">
        <f t="shared" ca="1" si="392"/>
        <v>-8.2294998814471114</v>
      </c>
      <c r="L882" s="304">
        <f t="shared" ca="1" si="377"/>
        <v>764.72307141370015</v>
      </c>
      <c r="M882" s="306">
        <f t="shared" ca="1" si="393"/>
        <v>-1.4623662858955169</v>
      </c>
      <c r="N882" s="304">
        <f t="shared" ca="1" si="394"/>
        <v>-83.787416284034649</v>
      </c>
      <c r="P882" s="310">
        <f t="shared" ca="1" si="395"/>
        <v>23</v>
      </c>
      <c r="Q882" s="304">
        <f t="shared" ca="1" si="396"/>
        <v>0</v>
      </c>
      <c r="R882" s="306">
        <f t="shared" ca="1" si="397"/>
        <v>0</v>
      </c>
      <c r="S882" s="307">
        <f t="shared" ca="1" si="398"/>
        <v>8.5499999999999989</v>
      </c>
      <c r="T882" s="304">
        <f t="shared" ca="1" si="378"/>
        <v>83.875499999999988</v>
      </c>
      <c r="U882" s="311">
        <f t="shared" ca="1" si="379"/>
        <v>0</v>
      </c>
      <c r="V882" s="306">
        <f t="shared" ca="1" si="380"/>
        <v>1.2260085287198264</v>
      </c>
      <c r="W882" s="304">
        <f t="shared" ca="1" si="381"/>
        <v>58.479900169687497</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2.9126732687861319</v>
      </c>
      <c r="AH882" s="304">
        <f t="shared" ca="1" si="405"/>
        <v>-6.8397138548322891</v>
      </c>
    </row>
    <row r="883" spans="1:34" x14ac:dyDescent="0.3">
      <c r="A883" s="347">
        <f t="shared" ca="1" si="383"/>
        <v>1E-4</v>
      </c>
      <c r="B883" s="304">
        <f t="shared" ca="1" si="384"/>
        <v>33.136800000001422</v>
      </c>
      <c r="D883" s="306">
        <f t="shared" ca="1" si="385"/>
        <v>-0.74018246141193078</v>
      </c>
      <c r="E883" s="307">
        <f t="shared" ca="1" si="386"/>
        <v>-3.0104139643920469</v>
      </c>
      <c r="F883" s="304">
        <f t="shared" ca="1" si="387"/>
        <v>3.1000745657465187</v>
      </c>
      <c r="G883" s="306">
        <f t="shared" ca="1" si="388"/>
        <v>13.426076679829567</v>
      </c>
      <c r="H883" s="307">
        <f t="shared" ca="1" si="389"/>
        <v>-123.33781788077091</v>
      </c>
      <c r="I883" s="304">
        <f t="shared" ca="1" si="390"/>
        <v>124.0664211404636</v>
      </c>
      <c r="J883" s="306">
        <f t="shared" ca="1" si="391"/>
        <v>764.67878961306644</v>
      </c>
      <c r="K883" s="307">
        <f t="shared" ca="1" si="392"/>
        <v>-8.2418336481831194</v>
      </c>
      <c r="L883" s="304">
        <f t="shared" ca="1" si="377"/>
        <v>764.72320424189343</v>
      </c>
      <c r="M883" s="306">
        <f t="shared" ca="1" si="393"/>
        <v>-1.4623671415787758</v>
      </c>
      <c r="N883" s="304">
        <f t="shared" ca="1" si="394"/>
        <v>-83.787465311073973</v>
      </c>
      <c r="P883" s="310">
        <f t="shared" ca="1" si="395"/>
        <v>23</v>
      </c>
      <c r="Q883" s="304">
        <f t="shared" ca="1" si="396"/>
        <v>0</v>
      </c>
      <c r="R883" s="306">
        <f t="shared" ca="1" si="397"/>
        <v>0</v>
      </c>
      <c r="S883" s="307">
        <f t="shared" ca="1" si="398"/>
        <v>8.5499999999999989</v>
      </c>
      <c r="T883" s="304">
        <f t="shared" ca="1" si="378"/>
        <v>83.875499999999988</v>
      </c>
      <c r="U883" s="311">
        <f t="shared" ca="1" si="379"/>
        <v>0</v>
      </c>
      <c r="V883" s="306">
        <f t="shared" ca="1" si="380"/>
        <v>1.2260100408513361</v>
      </c>
      <c r="W883" s="304">
        <f t="shared" ca="1" si="381"/>
        <v>58.4802468784087</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2.9126336262265538</v>
      </c>
      <c r="AH883" s="304">
        <f t="shared" ca="1" si="405"/>
        <v>-6.8397544058114041</v>
      </c>
    </row>
    <row r="884" spans="1:34" x14ac:dyDescent="0.3">
      <c r="A884" s="347">
        <f t="shared" ca="1" si="383"/>
        <v>1E-4</v>
      </c>
      <c r="B884" s="304">
        <f t="shared" ca="1" si="384"/>
        <v>33.136900000001425</v>
      </c>
      <c r="D884" s="306">
        <f t="shared" ca="1" si="385"/>
        <v>-0.74018103139153213</v>
      </c>
      <c r="E884" s="307">
        <f t="shared" ca="1" si="386"/>
        <v>-3.0103730184469013</v>
      </c>
      <c r="F884" s="304">
        <f t="shared" ca="1" si="387"/>
        <v>3.1000344626189142</v>
      </c>
      <c r="G884" s="306">
        <f t="shared" ca="1" si="388"/>
        <v>13.426002661726427</v>
      </c>
      <c r="H884" s="307">
        <f t="shared" ca="1" si="389"/>
        <v>-123.33811891807275</v>
      </c>
      <c r="I884" s="304">
        <f t="shared" ca="1" si="390"/>
        <v>124.06671239990742</v>
      </c>
      <c r="J884" s="306">
        <f t="shared" ca="1" si="391"/>
        <v>764.67878961306644</v>
      </c>
      <c r="K884" s="307">
        <f t="shared" ca="1" si="392"/>
        <v>-8.2541674450230609</v>
      </c>
      <c r="L884" s="304">
        <f t="shared" ca="1" si="377"/>
        <v>764.72333726931254</v>
      </c>
      <c r="M884" s="306">
        <f t="shared" ca="1" si="393"/>
        <v>-1.4623679972532995</v>
      </c>
      <c r="N884" s="304">
        <f t="shared" ca="1" si="394"/>
        <v>-83.787514337612819</v>
      </c>
      <c r="P884" s="310">
        <f t="shared" ca="1" si="395"/>
        <v>23</v>
      </c>
      <c r="Q884" s="304">
        <f t="shared" ca="1" si="396"/>
        <v>0</v>
      </c>
      <c r="R884" s="306">
        <f t="shared" ca="1" si="397"/>
        <v>0</v>
      </c>
      <c r="S884" s="307">
        <f t="shared" ca="1" si="398"/>
        <v>8.5499999999999989</v>
      </c>
      <c r="T884" s="304">
        <f t="shared" ca="1" si="378"/>
        <v>83.875499999999988</v>
      </c>
      <c r="U884" s="311">
        <f t="shared" ca="1" si="379"/>
        <v>0</v>
      </c>
      <c r="V884" s="306">
        <f t="shared" ca="1" si="380"/>
        <v>1.2260115529884026</v>
      </c>
      <c r="W884" s="304">
        <f t="shared" ca="1" si="381"/>
        <v>58.480593584979729</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2.9125939839020498</v>
      </c>
      <c r="AH884" s="304">
        <f t="shared" ca="1" si="405"/>
        <v>-6.8397949565390297</v>
      </c>
    </row>
    <row r="885" spans="1:34" x14ac:dyDescent="0.3">
      <c r="A885" s="347">
        <f t="shared" ca="1" si="383"/>
        <v>1E-4</v>
      </c>
      <c r="B885" s="304">
        <f t="shared" ca="1" si="384"/>
        <v>33.137000000001429</v>
      </c>
      <c r="D885" s="306">
        <f t="shared" ca="1" si="385"/>
        <v>-0.74017960133378424</v>
      </c>
      <c r="E885" s="307">
        <f t="shared" ca="1" si="386"/>
        <v>-3.0103320727556939</v>
      </c>
      <c r="F885" s="304">
        <f t="shared" ca="1" si="387"/>
        <v>3.099994359751681</v>
      </c>
      <c r="G885" s="306">
        <f t="shared" ca="1" si="388"/>
        <v>13.425928643766294</v>
      </c>
      <c r="H885" s="307">
        <f t="shared" ca="1" si="389"/>
        <v>-123.33841995128003</v>
      </c>
      <c r="I885" s="304">
        <f t="shared" ca="1" si="390"/>
        <v>124.06700365538701</v>
      </c>
      <c r="J885" s="306">
        <f t="shared" ca="1" si="391"/>
        <v>764.67878961306644</v>
      </c>
      <c r="K885" s="307">
        <f t="shared" ca="1" si="392"/>
        <v>-8.2665012719665292</v>
      </c>
      <c r="L885" s="304">
        <f t="shared" ca="1" si="377"/>
        <v>764.72347049595896</v>
      </c>
      <c r="M885" s="306">
        <f t="shared" ca="1" si="393"/>
        <v>-1.4623688529190886</v>
      </c>
      <c r="N885" s="304">
        <f t="shared" ca="1" si="394"/>
        <v>-83.787563363651216</v>
      </c>
      <c r="P885" s="310">
        <f t="shared" ca="1" si="395"/>
        <v>23</v>
      </c>
      <c r="Q885" s="304">
        <f t="shared" ca="1" si="396"/>
        <v>0</v>
      </c>
      <c r="R885" s="306">
        <f t="shared" ca="1" si="397"/>
        <v>0</v>
      </c>
      <c r="S885" s="307">
        <f t="shared" ca="1" si="398"/>
        <v>8.5499999999999989</v>
      </c>
      <c r="T885" s="304">
        <f t="shared" ca="1" si="378"/>
        <v>83.875499999999988</v>
      </c>
      <c r="U885" s="311">
        <f t="shared" ca="1" si="379"/>
        <v>0</v>
      </c>
      <c r="V885" s="306">
        <f t="shared" ca="1" si="380"/>
        <v>1.2260130651310257</v>
      </c>
      <c r="W885" s="304">
        <f t="shared" ca="1" si="381"/>
        <v>58.480940289400543</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2.9125543418126139</v>
      </c>
      <c r="AH885" s="304">
        <f t="shared" ca="1" si="405"/>
        <v>-6.8398355070151737</v>
      </c>
    </row>
    <row r="886" spans="1:34" x14ac:dyDescent="0.3">
      <c r="A886" s="347">
        <f t="shared" ca="1" si="383"/>
        <v>1E-4</v>
      </c>
      <c r="B886" s="304">
        <f t="shared" ca="1" si="384"/>
        <v>33.137100000001432</v>
      </c>
      <c r="D886" s="306">
        <f t="shared" ca="1" si="385"/>
        <v>-0.74017817123868357</v>
      </c>
      <c r="E886" s="307">
        <f t="shared" ca="1" si="386"/>
        <v>-3.0102911273184327</v>
      </c>
      <c r="F886" s="304">
        <f t="shared" ca="1" si="387"/>
        <v>3.0999542571448249</v>
      </c>
      <c r="G886" s="306">
        <f t="shared" ca="1" si="388"/>
        <v>13.425854625949171</v>
      </c>
      <c r="H886" s="307">
        <f t="shared" ca="1" si="389"/>
        <v>-123.33872098039276</v>
      </c>
      <c r="I886" s="304">
        <f t="shared" ca="1" si="390"/>
        <v>124.06729490690243</v>
      </c>
      <c r="J886" s="306">
        <f t="shared" ca="1" si="391"/>
        <v>764.67878961306644</v>
      </c>
      <c r="K886" s="307">
        <f t="shared" ca="1" si="392"/>
        <v>-8.2788351290131121</v>
      </c>
      <c r="L886" s="304">
        <f t="shared" ca="1" si="377"/>
        <v>764.72360392183373</v>
      </c>
      <c r="M886" s="306">
        <f t="shared" ca="1" si="393"/>
        <v>-1.4623697085761427</v>
      </c>
      <c r="N886" s="304">
        <f t="shared" ca="1" si="394"/>
        <v>-83.787612389189121</v>
      </c>
      <c r="P886" s="310">
        <f t="shared" ca="1" si="395"/>
        <v>23</v>
      </c>
      <c r="Q886" s="304">
        <f t="shared" ca="1" si="396"/>
        <v>0</v>
      </c>
      <c r="R886" s="306">
        <f t="shared" ca="1" si="397"/>
        <v>0</v>
      </c>
      <c r="S886" s="307">
        <f t="shared" ca="1" si="398"/>
        <v>8.5499999999999989</v>
      </c>
      <c r="T886" s="304">
        <f t="shared" ca="1" si="378"/>
        <v>83.875499999999988</v>
      </c>
      <c r="U886" s="311">
        <f t="shared" ca="1" si="379"/>
        <v>0</v>
      </c>
      <c r="V886" s="306">
        <f t="shared" ca="1" si="380"/>
        <v>1.2260145772792055</v>
      </c>
      <c r="W886" s="304">
        <f t="shared" ca="1" si="381"/>
        <v>58.481286991671148</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2.9125146999582521</v>
      </c>
      <c r="AH886" s="304">
        <f t="shared" ca="1" si="405"/>
        <v>-6.8398760572398301</v>
      </c>
    </row>
    <row r="887" spans="1:34" x14ac:dyDescent="0.3">
      <c r="A887" s="347">
        <f t="shared" ca="1" si="383"/>
        <v>1E-4</v>
      </c>
      <c r="B887" s="304">
        <f t="shared" ca="1" si="384"/>
        <v>33.137200000001435</v>
      </c>
      <c r="D887" s="306">
        <f t="shared" ca="1" si="385"/>
        <v>-0.74017674110623533</v>
      </c>
      <c r="E887" s="307">
        <f t="shared" ca="1" si="386"/>
        <v>-3.0102501821351142</v>
      </c>
      <c r="F887" s="304">
        <f t="shared" ca="1" si="387"/>
        <v>3.0999141547983449</v>
      </c>
      <c r="G887" s="306">
        <f t="shared" ca="1" si="388"/>
        <v>13.42578060827506</v>
      </c>
      <c r="H887" s="307">
        <f t="shared" ca="1" si="389"/>
        <v>-123.33902200541098</v>
      </c>
      <c r="I887" s="304">
        <f t="shared" ca="1" si="390"/>
        <v>124.06758615445369</v>
      </c>
      <c r="J887" s="306">
        <f t="shared" ca="1" si="391"/>
        <v>764.67878961306644</v>
      </c>
      <c r="K887" s="307">
        <f t="shared" ca="1" si="392"/>
        <v>-8.291169016162403</v>
      </c>
      <c r="L887" s="304">
        <f t="shared" ca="1" si="377"/>
        <v>764.72373754693854</v>
      </c>
      <c r="M887" s="306">
        <f t="shared" ca="1" si="393"/>
        <v>-1.4623705642244624</v>
      </c>
      <c r="N887" s="304">
        <f t="shared" ca="1" si="394"/>
        <v>-83.787661414226591</v>
      </c>
      <c r="P887" s="310">
        <f t="shared" ca="1" si="395"/>
        <v>23</v>
      </c>
      <c r="Q887" s="304">
        <f t="shared" ca="1" si="396"/>
        <v>0</v>
      </c>
      <c r="R887" s="306">
        <f t="shared" ca="1" si="397"/>
        <v>0</v>
      </c>
      <c r="S887" s="307">
        <f t="shared" ca="1" si="398"/>
        <v>8.5499999999999989</v>
      </c>
      <c r="T887" s="304">
        <f t="shared" ca="1" si="378"/>
        <v>83.875499999999988</v>
      </c>
      <c r="U887" s="311">
        <f t="shared" ca="1" si="379"/>
        <v>0</v>
      </c>
      <c r="V887" s="306">
        <f t="shared" ca="1" si="380"/>
        <v>1.2260160894329413</v>
      </c>
      <c r="W887" s="304">
        <f t="shared" ca="1" si="381"/>
        <v>58.48163369179148</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2.9124750583389645</v>
      </c>
      <c r="AH887" s="304">
        <f t="shared" ca="1" si="405"/>
        <v>-6.8399166072130004</v>
      </c>
    </row>
    <row r="888" spans="1:34" x14ac:dyDescent="0.3">
      <c r="A888" s="347">
        <f t="shared" ca="1" si="383"/>
        <v>1E-4</v>
      </c>
      <c r="B888" s="304">
        <f t="shared" ca="1" si="384"/>
        <v>33.137300000001439</v>
      </c>
      <c r="D888" s="306">
        <f t="shared" ca="1" si="385"/>
        <v>-0.74017531093643563</v>
      </c>
      <c r="E888" s="307">
        <f t="shared" ca="1" si="386"/>
        <v>-3.0102092372057463</v>
      </c>
      <c r="F888" s="304">
        <f t="shared" ca="1" si="387"/>
        <v>3.0998740527122468</v>
      </c>
      <c r="G888" s="306">
        <f t="shared" ca="1" si="388"/>
        <v>13.425706590743966</v>
      </c>
      <c r="H888" s="307">
        <f t="shared" ca="1" si="389"/>
        <v>-123.3393230263347</v>
      </c>
      <c r="I888" s="304">
        <f t="shared" ca="1" si="390"/>
        <v>124.06787739804081</v>
      </c>
      <c r="J888" s="306">
        <f t="shared" ca="1" si="391"/>
        <v>764.67878961306644</v>
      </c>
      <c r="K888" s="307">
        <f t="shared" ca="1" si="392"/>
        <v>-8.3035029334139896</v>
      </c>
      <c r="L888" s="304">
        <f t="shared" ca="1" si="377"/>
        <v>764.72387137127453</v>
      </c>
      <c r="M888" s="306">
        <f t="shared" ca="1" si="393"/>
        <v>-1.4623714198640476</v>
      </c>
      <c r="N888" s="304">
        <f t="shared" ca="1" si="394"/>
        <v>-83.787710438763611</v>
      </c>
      <c r="P888" s="310">
        <f t="shared" ca="1" si="395"/>
        <v>23</v>
      </c>
      <c r="Q888" s="304">
        <f t="shared" ca="1" si="396"/>
        <v>0</v>
      </c>
      <c r="R888" s="306">
        <f t="shared" ca="1" si="397"/>
        <v>0</v>
      </c>
      <c r="S888" s="307">
        <f t="shared" ca="1" si="398"/>
        <v>8.5499999999999989</v>
      </c>
      <c r="T888" s="304">
        <f t="shared" ca="1" si="378"/>
        <v>83.875499999999988</v>
      </c>
      <c r="U888" s="311">
        <f t="shared" ca="1" si="379"/>
        <v>0</v>
      </c>
      <c r="V888" s="306">
        <f t="shared" ca="1" si="380"/>
        <v>1.2260176015922335</v>
      </c>
      <c r="W888" s="304">
        <f t="shared" ca="1" si="381"/>
        <v>58.481980389761553</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2.9124354169547573</v>
      </c>
      <c r="AH888" s="304">
        <f t="shared" ca="1" si="405"/>
        <v>-6.8399571569346769</v>
      </c>
    </row>
    <row r="889" spans="1:34" x14ac:dyDescent="0.3">
      <c r="A889" s="347">
        <f t="shared" ca="1" si="383"/>
        <v>1E-4</v>
      </c>
      <c r="B889" s="304">
        <f t="shared" ca="1" si="384"/>
        <v>33.137400000001442</v>
      </c>
      <c r="D889" s="306">
        <f t="shared" ca="1" si="385"/>
        <v>-0.7401738807292878</v>
      </c>
      <c r="E889" s="307">
        <f t="shared" ca="1" si="386"/>
        <v>-3.010168292530329</v>
      </c>
      <c r="F889" s="304">
        <f t="shared" ca="1" si="387"/>
        <v>3.0998339508865325</v>
      </c>
      <c r="G889" s="306">
        <f t="shared" ca="1" si="388"/>
        <v>13.425632573355893</v>
      </c>
      <c r="H889" s="307">
        <f t="shared" ca="1" si="389"/>
        <v>-123.33962404316395</v>
      </c>
      <c r="I889" s="304">
        <f t="shared" ca="1" si="390"/>
        <v>124.06816863766379</v>
      </c>
      <c r="J889" s="306">
        <f t="shared" ca="1" si="391"/>
        <v>764.67878961306644</v>
      </c>
      <c r="K889" s="307">
        <f t="shared" ca="1" si="392"/>
        <v>-8.3158368807674652</v>
      </c>
      <c r="L889" s="304">
        <f t="shared" ca="1" si="377"/>
        <v>764.72400539484306</v>
      </c>
      <c r="M889" s="306">
        <f t="shared" ca="1" si="393"/>
        <v>-1.4623722754948985</v>
      </c>
      <c r="N889" s="304">
        <f t="shared" ca="1" si="394"/>
        <v>-83.787759462800182</v>
      </c>
      <c r="P889" s="310">
        <f t="shared" ca="1" si="395"/>
        <v>23</v>
      </c>
      <c r="Q889" s="304">
        <f t="shared" ca="1" si="396"/>
        <v>0</v>
      </c>
      <c r="R889" s="306">
        <f t="shared" ca="1" si="397"/>
        <v>0</v>
      </c>
      <c r="S889" s="307">
        <f t="shared" ca="1" si="398"/>
        <v>8.5499999999999989</v>
      </c>
      <c r="T889" s="304">
        <f t="shared" ca="1" si="378"/>
        <v>83.875499999999988</v>
      </c>
      <c r="U889" s="311">
        <f t="shared" ca="1" si="379"/>
        <v>0</v>
      </c>
      <c r="V889" s="306">
        <f t="shared" ca="1" si="380"/>
        <v>1.2260191137570824</v>
      </c>
      <c r="W889" s="304">
        <f t="shared" ca="1" si="381"/>
        <v>58.482327085581346</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2.9123957758056287</v>
      </c>
      <c r="AH889" s="304">
        <f t="shared" ca="1" si="405"/>
        <v>-6.8399977064048612</v>
      </c>
    </row>
    <row r="890" spans="1:34" x14ac:dyDescent="0.3">
      <c r="A890" s="347">
        <f t="shared" ca="1" si="383"/>
        <v>1E-4</v>
      </c>
      <c r="B890" s="304">
        <f t="shared" ca="1" si="384"/>
        <v>33.137500000001445</v>
      </c>
      <c r="D890" s="306">
        <f t="shared" ca="1" si="385"/>
        <v>-0.74017245048479174</v>
      </c>
      <c r="E890" s="307">
        <f t="shared" ca="1" si="386"/>
        <v>-3.0101273481088642</v>
      </c>
      <c r="F890" s="304">
        <f t="shared" ca="1" si="387"/>
        <v>3.0997938493212036</v>
      </c>
      <c r="G890" s="306">
        <f t="shared" ca="1" si="388"/>
        <v>13.425558556110845</v>
      </c>
      <c r="H890" s="307">
        <f t="shared" ca="1" si="389"/>
        <v>-123.33992505589876</v>
      </c>
      <c r="I890" s="304">
        <f t="shared" ca="1" si="390"/>
        <v>124.06845987332269</v>
      </c>
      <c r="J890" s="306">
        <f t="shared" ca="1" si="391"/>
        <v>764.67878961306644</v>
      </c>
      <c r="K890" s="307">
        <f t="shared" ca="1" si="392"/>
        <v>-8.3281708582224176</v>
      </c>
      <c r="L890" s="304">
        <f t="shared" ca="1" si="377"/>
        <v>764.72413961764551</v>
      </c>
      <c r="M890" s="306">
        <f t="shared" ca="1" si="393"/>
        <v>-1.4623731311170152</v>
      </c>
      <c r="N890" s="304">
        <f t="shared" ca="1" si="394"/>
        <v>-83.787808486336331</v>
      </c>
      <c r="P890" s="310">
        <f t="shared" ca="1" si="395"/>
        <v>23</v>
      </c>
      <c r="Q890" s="304">
        <f t="shared" ca="1" si="396"/>
        <v>0</v>
      </c>
      <c r="R890" s="306">
        <f t="shared" ca="1" si="397"/>
        <v>0</v>
      </c>
      <c r="S890" s="307">
        <f t="shared" ca="1" si="398"/>
        <v>8.5499999999999989</v>
      </c>
      <c r="T890" s="304">
        <f t="shared" ca="1" si="378"/>
        <v>83.875499999999988</v>
      </c>
      <c r="U890" s="311">
        <f t="shared" ca="1" si="379"/>
        <v>0</v>
      </c>
      <c r="V890" s="306">
        <f t="shared" ca="1" si="380"/>
        <v>1.2260206259274875</v>
      </c>
      <c r="W890" s="304">
        <f t="shared" ca="1" si="381"/>
        <v>58.48267377925086</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2.9123561348915876</v>
      </c>
      <c r="AH890" s="304">
        <f t="shared" ca="1" si="405"/>
        <v>-6.8400382556235497</v>
      </c>
    </row>
    <row r="891" spans="1:34" x14ac:dyDescent="0.3">
      <c r="A891" s="347">
        <f t="shared" ca="1" si="383"/>
        <v>1E-4</v>
      </c>
      <c r="B891" s="304">
        <f t="shared" ca="1" si="384"/>
        <v>33.137600000001449</v>
      </c>
      <c r="D891" s="306">
        <f t="shared" ca="1" si="385"/>
        <v>-0.74017102020294789</v>
      </c>
      <c r="E891" s="307">
        <f t="shared" ca="1" si="386"/>
        <v>-3.0100864039413509</v>
      </c>
      <c r="F891" s="304">
        <f t="shared" ca="1" si="387"/>
        <v>3.0997537480162594</v>
      </c>
      <c r="G891" s="306">
        <f t="shared" ca="1" si="388"/>
        <v>13.425484539008824</v>
      </c>
      <c r="H891" s="307">
        <f t="shared" ca="1" si="389"/>
        <v>-123.34022606453915</v>
      </c>
      <c r="I891" s="304">
        <f t="shared" ca="1" si="390"/>
        <v>124.06875110501753</v>
      </c>
      <c r="J891" s="306">
        <f t="shared" ca="1" si="391"/>
        <v>764.67878961306644</v>
      </c>
      <c r="K891" s="307">
        <f t="shared" ca="1" si="392"/>
        <v>-8.3405048657784402</v>
      </c>
      <c r="L891" s="304">
        <f t="shared" ca="1" si="377"/>
        <v>764.72427403968322</v>
      </c>
      <c r="M891" s="306">
        <f t="shared" ca="1" si="393"/>
        <v>-1.462373986730398</v>
      </c>
      <c r="N891" s="304">
        <f t="shared" ca="1" si="394"/>
        <v>-83.78785750937206</v>
      </c>
      <c r="P891" s="310">
        <f t="shared" ca="1" si="395"/>
        <v>23</v>
      </c>
      <c r="Q891" s="304">
        <f t="shared" ca="1" si="396"/>
        <v>0</v>
      </c>
      <c r="R891" s="306">
        <f t="shared" ca="1" si="397"/>
        <v>0</v>
      </c>
      <c r="S891" s="307">
        <f t="shared" ca="1" si="398"/>
        <v>8.5499999999999989</v>
      </c>
      <c r="T891" s="304">
        <f t="shared" ca="1" si="378"/>
        <v>83.875499999999988</v>
      </c>
      <c r="U891" s="311">
        <f t="shared" ca="1" si="379"/>
        <v>0</v>
      </c>
      <c r="V891" s="306">
        <f t="shared" ca="1" si="380"/>
        <v>1.2260221381034491</v>
      </c>
      <c r="W891" s="304">
        <f t="shared" ca="1" si="381"/>
        <v>58.483020470770072</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2.9123164942126269</v>
      </c>
      <c r="AH891" s="304">
        <f t="shared" ca="1" si="405"/>
        <v>-6.8400788045907444</v>
      </c>
    </row>
    <row r="892" spans="1:34" x14ac:dyDescent="0.3">
      <c r="A892" s="347">
        <f t="shared" ca="1" si="383"/>
        <v>1E-4</v>
      </c>
      <c r="B892" s="304">
        <f t="shared" ca="1" si="384"/>
        <v>33.137700000001452</v>
      </c>
      <c r="D892" s="306">
        <f t="shared" ca="1" si="385"/>
        <v>-0.74016958988375603</v>
      </c>
      <c r="E892" s="307">
        <f t="shared" ca="1" si="386"/>
        <v>-3.0100454600277917</v>
      </c>
      <c r="F892" s="304">
        <f t="shared" ca="1" si="387"/>
        <v>3.0997136469717019</v>
      </c>
      <c r="G892" s="306">
        <f t="shared" ca="1" si="388"/>
        <v>13.425410522049836</v>
      </c>
      <c r="H892" s="307">
        <f t="shared" ca="1" si="389"/>
        <v>-123.34052706908516</v>
      </c>
      <c r="I892" s="304">
        <f t="shared" ca="1" si="390"/>
        <v>124.06904233274832</v>
      </c>
      <c r="J892" s="306">
        <f t="shared" ca="1" si="391"/>
        <v>764.67878961306644</v>
      </c>
      <c r="K892" s="307">
        <f t="shared" ca="1" si="392"/>
        <v>-8.3528389034351207</v>
      </c>
      <c r="L892" s="304">
        <f t="shared" ca="1" si="377"/>
        <v>764.72440866095747</v>
      </c>
      <c r="M892" s="306">
        <f t="shared" ca="1" si="393"/>
        <v>-1.4623748423350467</v>
      </c>
      <c r="N892" s="304">
        <f t="shared" ca="1" si="394"/>
        <v>-83.787906531907353</v>
      </c>
      <c r="P892" s="310">
        <f t="shared" ca="1" si="395"/>
        <v>23</v>
      </c>
      <c r="Q892" s="304">
        <f t="shared" ca="1" si="396"/>
        <v>0</v>
      </c>
      <c r="R892" s="306">
        <f t="shared" ca="1" si="397"/>
        <v>0</v>
      </c>
      <c r="S892" s="307">
        <f t="shared" ca="1" si="398"/>
        <v>8.5499999999999989</v>
      </c>
      <c r="T892" s="304">
        <f t="shared" ca="1" si="378"/>
        <v>83.875499999999988</v>
      </c>
      <c r="U892" s="311">
        <f t="shared" ca="1" si="379"/>
        <v>0</v>
      </c>
      <c r="V892" s="306">
        <f t="shared" ca="1" si="380"/>
        <v>1.2260236502849671</v>
      </c>
      <c r="W892" s="304">
        <f t="shared" ca="1" si="381"/>
        <v>58.483367160138997</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2.9122768537687511</v>
      </c>
      <c r="AH892" s="304">
        <f t="shared" ca="1" si="405"/>
        <v>-6.8401193533064424</v>
      </c>
    </row>
    <row r="893" spans="1:34" x14ac:dyDescent="0.3">
      <c r="A893" s="347">
        <f t="shared" ca="1" si="383"/>
        <v>1E-4</v>
      </c>
      <c r="B893" s="304">
        <f t="shared" ca="1" si="384"/>
        <v>33.137800000001455</v>
      </c>
      <c r="D893" s="306">
        <f t="shared" ca="1" si="385"/>
        <v>-0.74016815952721959</v>
      </c>
      <c r="E893" s="307">
        <f t="shared" ca="1" si="386"/>
        <v>-3.0100045163681859</v>
      </c>
      <c r="F893" s="304">
        <f t="shared" ca="1" si="387"/>
        <v>3.0996735461875318</v>
      </c>
      <c r="G893" s="306">
        <f t="shared" ca="1" si="388"/>
        <v>13.425336505233883</v>
      </c>
      <c r="H893" s="307">
        <f t="shared" ca="1" si="389"/>
        <v>-123.3408280695368</v>
      </c>
      <c r="I893" s="304">
        <f t="shared" ca="1" si="390"/>
        <v>124.06933355651509</v>
      </c>
      <c r="J893" s="306">
        <f t="shared" ca="1" si="391"/>
        <v>764.67878961306644</v>
      </c>
      <c r="K893" s="307">
        <f t="shared" ca="1" si="392"/>
        <v>-8.3651729711920524</v>
      </c>
      <c r="L893" s="304">
        <f t="shared" ca="1" si="377"/>
        <v>764.72454348146971</v>
      </c>
      <c r="M893" s="306">
        <f t="shared" ca="1" si="393"/>
        <v>-1.4623756979309617</v>
      </c>
      <c r="N893" s="304">
        <f t="shared" ca="1" si="394"/>
        <v>-83.787955553942254</v>
      </c>
      <c r="P893" s="310">
        <f t="shared" ca="1" si="395"/>
        <v>23</v>
      </c>
      <c r="Q893" s="304">
        <f t="shared" ca="1" si="396"/>
        <v>0</v>
      </c>
      <c r="R893" s="306">
        <f t="shared" ca="1" si="397"/>
        <v>0</v>
      </c>
      <c r="S893" s="307">
        <f t="shared" ca="1" si="398"/>
        <v>8.5499999999999989</v>
      </c>
      <c r="T893" s="304">
        <f t="shared" ca="1" si="378"/>
        <v>83.875499999999988</v>
      </c>
      <c r="U893" s="311">
        <f t="shared" ca="1" si="379"/>
        <v>0</v>
      </c>
      <c r="V893" s="306">
        <f t="shared" ca="1" si="380"/>
        <v>1.2260251624720413</v>
      </c>
      <c r="W893" s="304">
        <f t="shared" ca="1" si="381"/>
        <v>58.483713847357578</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2.9122372135599619</v>
      </c>
      <c r="AH893" s="304">
        <f t="shared" ca="1" si="405"/>
        <v>-6.8401599017706438</v>
      </c>
    </row>
    <row r="894" spans="1:34" x14ac:dyDescent="0.3">
      <c r="A894" s="347">
        <f t="shared" ca="1" si="383"/>
        <v>1E-4</v>
      </c>
      <c r="B894" s="304">
        <f t="shared" ca="1" si="384"/>
        <v>33.137900000001459</v>
      </c>
      <c r="D894" s="306">
        <f t="shared" ca="1" si="385"/>
        <v>-0.74016672913333659</v>
      </c>
      <c r="E894" s="307">
        <f t="shared" ca="1" si="386"/>
        <v>-3.0099635729625396</v>
      </c>
      <c r="F894" s="304">
        <f t="shared" ca="1" si="387"/>
        <v>3.0996334456637546</v>
      </c>
      <c r="G894" s="306">
        <f t="shared" ca="1" si="388"/>
        <v>13.425262488560969</v>
      </c>
      <c r="H894" s="307">
        <f t="shared" ca="1" si="389"/>
        <v>-123.34112906589409</v>
      </c>
      <c r="I894" s="304">
        <f t="shared" ca="1" si="390"/>
        <v>124.06962477631787</v>
      </c>
      <c r="J894" s="306">
        <f t="shared" ca="1" si="391"/>
        <v>764.67878961306644</v>
      </c>
      <c r="K894" s="307">
        <f t="shared" ca="1" si="392"/>
        <v>-8.3775070690488231</v>
      </c>
      <c r="L894" s="304">
        <f t="shared" ca="1" si="377"/>
        <v>764.72467850122132</v>
      </c>
      <c r="M894" s="306">
        <f t="shared" ca="1" si="393"/>
        <v>-1.4623765535181432</v>
      </c>
      <c r="N894" s="304">
        <f t="shared" ca="1" si="394"/>
        <v>-83.788004575476762</v>
      </c>
      <c r="P894" s="310">
        <f t="shared" ca="1" si="395"/>
        <v>23</v>
      </c>
      <c r="Q894" s="304">
        <f t="shared" ca="1" si="396"/>
        <v>0</v>
      </c>
      <c r="R894" s="306">
        <f t="shared" ca="1" si="397"/>
        <v>0</v>
      </c>
      <c r="S894" s="307">
        <f t="shared" ca="1" si="398"/>
        <v>8.5499999999999989</v>
      </c>
      <c r="T894" s="304">
        <f t="shared" ca="1" si="378"/>
        <v>83.875499999999988</v>
      </c>
      <c r="U894" s="311">
        <f t="shared" ca="1" si="379"/>
        <v>0</v>
      </c>
      <c r="V894" s="306">
        <f t="shared" ca="1" si="380"/>
        <v>1.2260266746646717</v>
      </c>
      <c r="W894" s="304">
        <f t="shared" ca="1" si="381"/>
        <v>58.484060532425829</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2.9121975735862629</v>
      </c>
      <c r="AH894" s="304">
        <f t="shared" ca="1" si="405"/>
        <v>-6.8402004499833433</v>
      </c>
    </row>
    <row r="895" spans="1:34" x14ac:dyDescent="0.3">
      <c r="A895" s="347">
        <f t="shared" ca="1" si="383"/>
        <v>1E-4</v>
      </c>
      <c r="B895" s="304">
        <f t="shared" ca="1" si="384"/>
        <v>33.138000000001462</v>
      </c>
      <c r="D895" s="306">
        <f t="shared" ca="1" si="385"/>
        <v>-0.74016529870210734</v>
      </c>
      <c r="E895" s="307">
        <f t="shared" ca="1" si="386"/>
        <v>-3.0099226298108519</v>
      </c>
      <c r="F895" s="304">
        <f t="shared" ca="1" si="387"/>
        <v>3.0995933454003692</v>
      </c>
      <c r="G895" s="306">
        <f t="shared" ca="1" si="388"/>
        <v>13.425188472031099</v>
      </c>
      <c r="H895" s="307">
        <f t="shared" ca="1" si="389"/>
        <v>-123.34143005815707</v>
      </c>
      <c r="I895" s="304">
        <f t="shared" ca="1" si="390"/>
        <v>124.06991599215665</v>
      </c>
      <c r="J895" s="306">
        <f t="shared" ca="1" si="391"/>
        <v>764.67878961306644</v>
      </c>
      <c r="K895" s="307">
        <f t="shared" ca="1" si="392"/>
        <v>-8.3898411970050262</v>
      </c>
      <c r="L895" s="304">
        <f t="shared" ca="1" si="377"/>
        <v>764.72481372021355</v>
      </c>
      <c r="M895" s="306">
        <f t="shared" ca="1" si="393"/>
        <v>-1.4623774090965911</v>
      </c>
      <c r="N895" s="304">
        <f t="shared" ca="1" si="394"/>
        <v>-83.788053596510863</v>
      </c>
      <c r="P895" s="310">
        <f t="shared" ca="1" si="395"/>
        <v>23</v>
      </c>
      <c r="Q895" s="304">
        <f t="shared" ca="1" si="396"/>
        <v>0</v>
      </c>
      <c r="R895" s="306">
        <f t="shared" ca="1" si="397"/>
        <v>0</v>
      </c>
      <c r="S895" s="307">
        <f t="shared" ca="1" si="398"/>
        <v>8.5499999999999989</v>
      </c>
      <c r="T895" s="304">
        <f t="shared" ca="1" si="378"/>
        <v>83.875499999999988</v>
      </c>
      <c r="U895" s="311">
        <f t="shared" ca="1" si="379"/>
        <v>0</v>
      </c>
      <c r="V895" s="306">
        <f t="shared" ca="1" si="380"/>
        <v>1.226028186862858</v>
      </c>
      <c r="W895" s="304">
        <f t="shared" ca="1" si="381"/>
        <v>58.484407215343701</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2.912157933847654</v>
      </c>
      <c r="AH895" s="304">
        <f t="shared" ca="1" si="405"/>
        <v>-6.8402409979445427</v>
      </c>
    </row>
    <row r="896" spans="1:34" x14ac:dyDescent="0.3">
      <c r="A896" s="347">
        <f t="shared" ca="1" si="383"/>
        <v>1E-4</v>
      </c>
      <c r="B896" s="304">
        <f t="shared" ca="1" si="384"/>
        <v>33.138100000001465</v>
      </c>
      <c r="D896" s="306">
        <f t="shared" ca="1" si="385"/>
        <v>-0.74016386823353431</v>
      </c>
      <c r="E896" s="307">
        <f t="shared" ca="1" si="386"/>
        <v>-3.0098816869131273</v>
      </c>
      <c r="F896" s="304">
        <f t="shared" ca="1" si="387"/>
        <v>3.0995532453973818</v>
      </c>
      <c r="G896" s="306">
        <f t="shared" ca="1" si="388"/>
        <v>13.425114455644275</v>
      </c>
      <c r="H896" s="307">
        <f t="shared" ca="1" si="389"/>
        <v>-123.34173104632576</v>
      </c>
      <c r="I896" s="304">
        <f t="shared" ca="1" si="390"/>
        <v>124.0702072040315</v>
      </c>
      <c r="J896" s="306">
        <f t="shared" ca="1" si="391"/>
        <v>764.67878961306644</v>
      </c>
      <c r="K896" s="307">
        <f t="shared" ca="1" si="392"/>
        <v>-8.4021753550602511</v>
      </c>
      <c r="L896" s="304">
        <f t="shared" ca="1" si="377"/>
        <v>764.72494913844776</v>
      </c>
      <c r="M896" s="306">
        <f t="shared" ca="1" si="393"/>
        <v>-1.4623782646663057</v>
      </c>
      <c r="N896" s="304">
        <f t="shared" ca="1" si="394"/>
        <v>-83.788102617044601</v>
      </c>
      <c r="P896" s="310">
        <f t="shared" ca="1" si="395"/>
        <v>23</v>
      </c>
      <c r="Q896" s="304">
        <f t="shared" ca="1" si="396"/>
        <v>0</v>
      </c>
      <c r="R896" s="306">
        <f t="shared" ca="1" si="397"/>
        <v>0</v>
      </c>
      <c r="S896" s="307">
        <f t="shared" ca="1" si="398"/>
        <v>8.5499999999999989</v>
      </c>
      <c r="T896" s="304">
        <f t="shared" ca="1" si="378"/>
        <v>83.875499999999988</v>
      </c>
      <c r="U896" s="311">
        <f t="shared" ca="1" si="379"/>
        <v>0</v>
      </c>
      <c r="V896" s="306">
        <f t="shared" ca="1" si="380"/>
        <v>1.2260296990666009</v>
      </c>
      <c r="W896" s="304">
        <f t="shared" ca="1" si="381"/>
        <v>58.484753896111236</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2.9121182943441442</v>
      </c>
      <c r="AH896" s="304">
        <f t="shared" ca="1" si="405"/>
        <v>-6.8402815456542347</v>
      </c>
    </row>
    <row r="897" spans="1:34" x14ac:dyDescent="0.3">
      <c r="A897" s="347">
        <f t="shared" ca="1" si="383"/>
        <v>1E-4</v>
      </c>
      <c r="B897" s="304">
        <f t="shared" ca="1" si="384"/>
        <v>33.138200000001468</v>
      </c>
      <c r="D897" s="306">
        <f t="shared" ca="1" si="385"/>
        <v>-0.74016243772761692</v>
      </c>
      <c r="E897" s="307">
        <f t="shared" ca="1" si="386"/>
        <v>-3.0098407442693622</v>
      </c>
      <c r="F897" s="304">
        <f t="shared" ca="1" si="387"/>
        <v>3.0995131456547873</v>
      </c>
      <c r="G897" s="306">
        <f t="shared" ca="1" si="388"/>
        <v>13.425040439400503</v>
      </c>
      <c r="H897" s="307">
        <f t="shared" ca="1" si="389"/>
        <v>-123.34203203040019</v>
      </c>
      <c r="I897" s="304">
        <f t="shared" ca="1" si="390"/>
        <v>124.07049841194241</v>
      </c>
      <c r="J897" s="306">
        <f t="shared" ca="1" si="391"/>
        <v>764.67878961306644</v>
      </c>
      <c r="K897" s="307">
        <f t="shared" ca="1" si="392"/>
        <v>-8.4145095432140877</v>
      </c>
      <c r="L897" s="304">
        <f t="shared" ca="1" si="377"/>
        <v>764.72508475592531</v>
      </c>
      <c r="M897" s="306">
        <f t="shared" ca="1" si="393"/>
        <v>-1.4623791202272871</v>
      </c>
      <c r="N897" s="304">
        <f t="shared" ca="1" si="394"/>
        <v>-83.788151637077945</v>
      </c>
      <c r="P897" s="310">
        <f t="shared" ca="1" si="395"/>
        <v>23</v>
      </c>
      <c r="Q897" s="304">
        <f t="shared" ca="1" si="396"/>
        <v>0</v>
      </c>
      <c r="R897" s="306">
        <f t="shared" ca="1" si="397"/>
        <v>0</v>
      </c>
      <c r="S897" s="307">
        <f t="shared" ca="1" si="398"/>
        <v>8.5499999999999989</v>
      </c>
      <c r="T897" s="304">
        <f t="shared" ca="1" si="378"/>
        <v>83.875499999999988</v>
      </c>
      <c r="U897" s="311">
        <f t="shared" ca="1" si="379"/>
        <v>0</v>
      </c>
      <c r="V897" s="306">
        <f t="shared" ca="1" si="380"/>
        <v>1.2260312112759</v>
      </c>
      <c r="W897" s="304">
        <f t="shared" ca="1" si="381"/>
        <v>58.485100574728378</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2.9120786550757254</v>
      </c>
      <c r="AH897" s="304">
        <f t="shared" ca="1" si="405"/>
        <v>-6.8403220931124258</v>
      </c>
    </row>
    <row r="898" spans="1:34" x14ac:dyDescent="0.3">
      <c r="A898" s="347">
        <f t="shared" ca="1" si="383"/>
        <v>1E-4</v>
      </c>
      <c r="B898" s="304">
        <f t="shared" ca="1" si="384"/>
        <v>33.138300000001472</v>
      </c>
      <c r="D898" s="306">
        <f t="shared" ca="1" si="385"/>
        <v>-0.74016100718435618</v>
      </c>
      <c r="E898" s="307">
        <f t="shared" ca="1" si="386"/>
        <v>-3.009799801879562</v>
      </c>
      <c r="F898" s="304">
        <f t="shared" ca="1" si="387"/>
        <v>3.099473046172593</v>
      </c>
      <c r="G898" s="306">
        <f t="shared" ca="1" si="388"/>
        <v>13.424966423299784</v>
      </c>
      <c r="H898" s="307">
        <f t="shared" ca="1" si="389"/>
        <v>-123.34233301038037</v>
      </c>
      <c r="I898" s="304">
        <f t="shared" ca="1" si="390"/>
        <v>124.07078961588942</v>
      </c>
      <c r="J898" s="306">
        <f t="shared" ca="1" si="391"/>
        <v>764.67878961306644</v>
      </c>
      <c r="K898" s="307">
        <f t="shared" ca="1" si="392"/>
        <v>-8.4268437614661273</v>
      </c>
      <c r="L898" s="304">
        <f t="shared" ca="1" si="377"/>
        <v>764.72522057264757</v>
      </c>
      <c r="M898" s="306">
        <f t="shared" ca="1" si="393"/>
        <v>-1.4623799757795353</v>
      </c>
      <c r="N898" s="304">
        <f t="shared" ca="1" si="394"/>
        <v>-83.788200656610925</v>
      </c>
      <c r="P898" s="310">
        <f t="shared" ca="1" si="395"/>
        <v>23</v>
      </c>
      <c r="Q898" s="304">
        <f t="shared" ca="1" si="396"/>
        <v>0</v>
      </c>
      <c r="R898" s="306">
        <f t="shared" ca="1" si="397"/>
        <v>0</v>
      </c>
      <c r="S898" s="307">
        <f t="shared" ca="1" si="398"/>
        <v>8.5499999999999989</v>
      </c>
      <c r="T898" s="304">
        <f t="shared" ca="1" si="378"/>
        <v>83.875499999999988</v>
      </c>
      <c r="U898" s="311">
        <f t="shared" ca="1" si="379"/>
        <v>0</v>
      </c>
      <c r="V898" s="306">
        <f t="shared" ca="1" si="380"/>
        <v>1.2260327234907549</v>
      </c>
      <c r="W898" s="304">
        <f t="shared" ca="1" si="381"/>
        <v>58.485447251195133</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2.9120390160424039</v>
      </c>
      <c r="AH898" s="304">
        <f t="shared" ca="1" si="405"/>
        <v>-6.8403626403191096</v>
      </c>
    </row>
    <row r="899" spans="1:34" x14ac:dyDescent="0.3">
      <c r="A899" s="347">
        <f t="shared" ca="1" si="383"/>
        <v>1E-4</v>
      </c>
      <c r="B899" s="304">
        <f t="shared" ca="1" si="384"/>
        <v>33.138400000001475</v>
      </c>
      <c r="D899" s="306">
        <f t="shared" ca="1" si="385"/>
        <v>-0.74015957660375375</v>
      </c>
      <c r="E899" s="307">
        <f t="shared" ca="1" si="386"/>
        <v>-3.0097588597437257</v>
      </c>
      <c r="F899" s="304">
        <f t="shared" ca="1" si="387"/>
        <v>3.0994329469507966</v>
      </c>
      <c r="G899" s="306">
        <f t="shared" ca="1" si="388"/>
        <v>13.424892407342124</v>
      </c>
      <c r="H899" s="307">
        <f t="shared" ca="1" si="389"/>
        <v>-123.34263398626635</v>
      </c>
      <c r="I899" s="304">
        <f t="shared" ca="1" si="390"/>
        <v>124.07108081587255</v>
      </c>
      <c r="J899" s="306">
        <f t="shared" ca="1" si="391"/>
        <v>764.67878961306644</v>
      </c>
      <c r="K899" s="307">
        <f t="shared" ca="1" si="392"/>
        <v>-8.4391780098159597</v>
      </c>
      <c r="L899" s="304">
        <f t="shared" ca="1" si="377"/>
        <v>764.72535658861591</v>
      </c>
      <c r="M899" s="306">
        <f t="shared" ca="1" si="393"/>
        <v>-1.4623808313230506</v>
      </c>
      <c r="N899" s="304">
        <f t="shared" ca="1" si="394"/>
        <v>-83.788249675643542</v>
      </c>
      <c r="P899" s="310">
        <f t="shared" ca="1" si="395"/>
        <v>23</v>
      </c>
      <c r="Q899" s="304">
        <f t="shared" ca="1" si="396"/>
        <v>0</v>
      </c>
      <c r="R899" s="306">
        <f t="shared" ca="1" si="397"/>
        <v>0</v>
      </c>
      <c r="S899" s="307">
        <f t="shared" ca="1" si="398"/>
        <v>8.5499999999999989</v>
      </c>
      <c r="T899" s="304">
        <f t="shared" ca="1" si="378"/>
        <v>83.875499999999988</v>
      </c>
      <c r="U899" s="311">
        <f t="shared" ca="1" si="379"/>
        <v>0</v>
      </c>
      <c r="V899" s="306">
        <f t="shared" ca="1" si="380"/>
        <v>1.226034235711166</v>
      </c>
      <c r="W899" s="304">
        <f t="shared" ca="1" si="381"/>
        <v>58.485793925511466</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2.9119993772441841</v>
      </c>
      <c r="AH899" s="304">
        <f t="shared" ca="1" si="405"/>
        <v>-6.8404031872742852</v>
      </c>
    </row>
    <row r="900" spans="1:34" x14ac:dyDescent="0.3">
      <c r="A900" s="347">
        <f t="shared" ca="1" si="383"/>
        <v>1E-4</v>
      </c>
      <c r="B900" s="304">
        <f t="shared" ca="1" si="384"/>
        <v>33.138500000001478</v>
      </c>
      <c r="D900" s="306">
        <f t="shared" ca="1" si="385"/>
        <v>-0.74015814598580798</v>
      </c>
      <c r="E900" s="307">
        <f t="shared" ca="1" si="386"/>
        <v>-3.0097179178618596</v>
      </c>
      <c r="F900" s="304">
        <f t="shared" ca="1" si="387"/>
        <v>3.0993928479894053</v>
      </c>
      <c r="G900" s="306">
        <f t="shared" ca="1" si="388"/>
        <v>13.424818391527525</v>
      </c>
      <c r="H900" s="307">
        <f t="shared" ca="1" si="389"/>
        <v>-123.34293495805814</v>
      </c>
      <c r="I900" s="304">
        <f t="shared" ca="1" si="390"/>
        <v>124.07137201189182</v>
      </c>
      <c r="J900" s="306">
        <f t="shared" ca="1" si="391"/>
        <v>764.67878961306644</v>
      </c>
      <c r="K900" s="307">
        <f t="shared" ca="1" si="392"/>
        <v>-8.4515122882631761</v>
      </c>
      <c r="L900" s="304">
        <f t="shared" ref="L900:L963" ca="1" si="406">SQRT(pos_x^2+pos_z^2)</f>
        <v>764.72549280383146</v>
      </c>
      <c r="M900" s="306">
        <f t="shared" ca="1" si="393"/>
        <v>-1.4623816868578332</v>
      </c>
      <c r="N900" s="304">
        <f t="shared" ca="1" si="394"/>
        <v>-83.788298694175808</v>
      </c>
      <c r="P900" s="310">
        <f t="shared" ca="1" si="395"/>
        <v>23</v>
      </c>
      <c r="Q900" s="304">
        <f t="shared" ca="1" si="396"/>
        <v>0</v>
      </c>
      <c r="R900" s="306">
        <f t="shared" ca="1" si="397"/>
        <v>0</v>
      </c>
      <c r="S900" s="307">
        <f t="shared" ca="1" si="398"/>
        <v>8.5499999999999989</v>
      </c>
      <c r="T900" s="304">
        <f t="shared" ref="T900:T963" ca="1" si="407">m*g</f>
        <v>83.875499999999988</v>
      </c>
      <c r="U900" s="311">
        <f t="shared" ref="U900:U963" ca="1" si="408">IF(pos_xz&lt;L_rampe,Poids*COS(Beta),0)</f>
        <v>0</v>
      </c>
      <c r="V900" s="306">
        <f t="shared" ref="V900:V963" ca="1" si="409">Rho_moyen*(20000-Alt_rampe-pos_z)/(20000+Alt_rampe+pos_z)</f>
        <v>1.2260357479371331</v>
      </c>
      <c r="W900" s="304">
        <f t="shared" ref="W900:W963" ca="1" si="410">1/2*Rho*Sref*Cx*vit_xz^2</f>
        <v>58.486140597677398</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2.9119597386810652</v>
      </c>
      <c r="AH900" s="304">
        <f t="shared" ca="1" si="405"/>
        <v>-6.84044373397795</v>
      </c>
    </row>
    <row r="901" spans="1:34" x14ac:dyDescent="0.3">
      <c r="A901" s="347">
        <f t="shared" ref="A901:A964" ca="1" si="412">IF(B900+0.01&lt;=T_ini+ROUNDUP(Temps_fin_propu,0), 0.01, IF(K900&gt;0, 0.1, 0.0001))</f>
        <v>1E-4</v>
      </c>
      <c r="B901" s="304">
        <f t="shared" ref="B901:B964" ca="1" si="413">B900+pas</f>
        <v>33.138600000001482</v>
      </c>
      <c r="D901" s="306">
        <f t="shared" ref="D901:D964" ca="1" si="414">IF(AND(L900&lt;L_rampe,Poussee&lt;Poids*SIN(M900)),0,(-W900+Poussee)/m*COS(M900)-U900/m*SIN(M900))</f>
        <v>-0.74015671533052074</v>
      </c>
      <c r="E901" s="307">
        <f t="shared" ref="E901:E964" ca="1" si="415">IF(AND(L900&lt;L_rampe,Poussee&lt;Poids*SIN(M900)),0,(-W900+Poussee)/m*SIN(M900)+U900/m*COS(M900)-Poids/m)</f>
        <v>-3.0096769762339592</v>
      </c>
      <c r="F901" s="304">
        <f t="shared" ref="F901:F964" ca="1" si="416">SQRT(acc_x^2+acc_z^2)</f>
        <v>3.0993527492884145</v>
      </c>
      <c r="G901" s="306">
        <f t="shared" ref="G901:G964" ca="1" si="417">G900+acc_x*pas</f>
        <v>13.424744375855992</v>
      </c>
      <c r="H901" s="307">
        <f t="shared" ref="H901:H964" ca="1" si="418">H900+acc_z*pas</f>
        <v>-123.34323592575576</v>
      </c>
      <c r="I901" s="304">
        <f t="shared" ref="I901:I964" ca="1" si="419">SQRT(vit_x^2+vit_z^2)</f>
        <v>124.07166320394728</v>
      </c>
      <c r="J901" s="306">
        <f t="shared" ref="J901:J964" ca="1" si="420">J900+0.5*(vit_x+G900)*pas*(K900&gt;=0)</f>
        <v>764.67878961306644</v>
      </c>
      <c r="K901" s="307">
        <f t="shared" ref="K901:K964" ca="1" si="421">K900+0.5*(vit_z+H900)*pas</f>
        <v>-8.4638465968073664</v>
      </c>
      <c r="L901" s="304">
        <f t="shared" ca="1" si="406"/>
        <v>764.72562921829592</v>
      </c>
      <c r="M901" s="306">
        <f t="shared" ref="M901:M964" ca="1" si="422">IF(AND(L900&gt;L_rampe,G901&gt;0),ATAN2(G901,H901),$M$4)</f>
        <v>-1.462382542383883</v>
      </c>
      <c r="N901" s="304">
        <f t="shared" ref="N901:N964" ca="1" si="423">DEGREES(Beta)</f>
        <v>-83.788347712207724</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8.5499999999999989</v>
      </c>
      <c r="T901" s="304">
        <f t="shared" ca="1" si="407"/>
        <v>83.875499999999988</v>
      </c>
      <c r="U901" s="311">
        <f t="shared" ca="1" si="408"/>
        <v>0</v>
      </c>
      <c r="V901" s="306">
        <f t="shared" ca="1" si="409"/>
        <v>1.2260372601686567</v>
      </c>
      <c r="W901" s="304">
        <f t="shared" ca="1" si="410"/>
        <v>58.486487267692922</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2.9119201003530488</v>
      </c>
      <c r="AH901" s="304">
        <f t="shared" ref="AH901:AH964" ca="1" si="434">IF(AND(L900&lt;L_rampe,Poussee&lt;Poids*SIN(M900)), g*SIN(M900), (-W900+Poussee)/m)</f>
        <v>-6.8404842804301058</v>
      </c>
    </row>
    <row r="902" spans="1:34" x14ac:dyDescent="0.3">
      <c r="A902" s="347">
        <f t="shared" ca="1" si="412"/>
        <v>1E-4</v>
      </c>
      <c r="B902" s="304">
        <f t="shared" ca="1" si="413"/>
        <v>33.138700000001485</v>
      </c>
      <c r="D902" s="306">
        <f t="shared" ca="1" si="414"/>
        <v>-0.7401552846378936</v>
      </c>
      <c r="E902" s="307">
        <f t="shared" ca="1" si="415"/>
        <v>-3.0096360348600264</v>
      </c>
      <c r="F902" s="304">
        <f t="shared" ca="1" si="416"/>
        <v>3.099312650847827</v>
      </c>
      <c r="G902" s="306">
        <f t="shared" ca="1" si="417"/>
        <v>13.424670360327529</v>
      </c>
      <c r="H902" s="307">
        <f t="shared" ca="1" si="418"/>
        <v>-123.34353688935924</v>
      </c>
      <c r="I902" s="304">
        <f t="shared" ca="1" si="419"/>
        <v>124.0719543920389</v>
      </c>
      <c r="J902" s="306">
        <f t="shared" ca="1" si="420"/>
        <v>764.67878961306644</v>
      </c>
      <c r="K902" s="307">
        <f t="shared" ca="1" si="421"/>
        <v>-8.4761809354481219</v>
      </c>
      <c r="L902" s="304">
        <f t="shared" ca="1" si="406"/>
        <v>764.72576583201044</v>
      </c>
      <c r="M902" s="306">
        <f t="shared" ca="1" si="422"/>
        <v>-1.4623833979012002</v>
      </c>
      <c r="N902" s="304">
        <f t="shared" ca="1" si="423"/>
        <v>-83.788396729739304</v>
      </c>
      <c r="P902" s="310">
        <f t="shared" ca="1" si="424"/>
        <v>23</v>
      </c>
      <c r="Q902" s="304">
        <f t="shared" ca="1" si="425"/>
        <v>0</v>
      </c>
      <c r="R902" s="306">
        <f t="shared" ca="1" si="426"/>
        <v>0</v>
      </c>
      <c r="S902" s="307">
        <f t="shared" ca="1" si="427"/>
        <v>8.5499999999999989</v>
      </c>
      <c r="T902" s="304">
        <f t="shared" ca="1" si="407"/>
        <v>83.875499999999988</v>
      </c>
      <c r="U902" s="311">
        <f t="shared" ca="1" si="408"/>
        <v>0</v>
      </c>
      <c r="V902" s="306">
        <f t="shared" ca="1" si="409"/>
        <v>1.2260387724057358</v>
      </c>
      <c r="W902" s="304">
        <f t="shared" ca="1" si="410"/>
        <v>58.486833935557975</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2.9118804622601342</v>
      </c>
      <c r="AH902" s="304">
        <f t="shared" ca="1" si="434"/>
        <v>-6.8405248266307517</v>
      </c>
    </row>
    <row r="903" spans="1:34" x14ac:dyDescent="0.3">
      <c r="A903" s="347">
        <f t="shared" ca="1" si="412"/>
        <v>1E-4</v>
      </c>
      <c r="B903" s="304">
        <f t="shared" ca="1" si="413"/>
        <v>33.138800000001488</v>
      </c>
      <c r="D903" s="306">
        <f t="shared" ca="1" si="414"/>
        <v>-0.74015385390792632</v>
      </c>
      <c r="E903" s="307">
        <f t="shared" ca="1" si="415"/>
        <v>-3.0095950937400673</v>
      </c>
      <c r="F903" s="304">
        <f t="shared" ca="1" si="416"/>
        <v>3.0992725526676481</v>
      </c>
      <c r="G903" s="306">
        <f t="shared" ca="1" si="417"/>
        <v>13.424596344942138</v>
      </c>
      <c r="H903" s="307">
        <f t="shared" ca="1" si="418"/>
        <v>-123.34383784886862</v>
      </c>
      <c r="I903" s="304">
        <f t="shared" ca="1" si="419"/>
        <v>124.07224557616675</v>
      </c>
      <c r="J903" s="306">
        <f t="shared" ca="1" si="420"/>
        <v>764.67878961306644</v>
      </c>
      <c r="K903" s="307">
        <f t="shared" ca="1" si="421"/>
        <v>-8.4885153041850341</v>
      </c>
      <c r="L903" s="304">
        <f t="shared" ca="1" si="406"/>
        <v>764.72590264497626</v>
      </c>
      <c r="M903" s="306">
        <f t="shared" ca="1" si="422"/>
        <v>-1.4623842534097853</v>
      </c>
      <c r="N903" s="304">
        <f t="shared" ca="1" si="423"/>
        <v>-83.788445746770563</v>
      </c>
      <c r="P903" s="310">
        <f t="shared" ca="1" si="424"/>
        <v>23</v>
      </c>
      <c r="Q903" s="304">
        <f t="shared" ca="1" si="425"/>
        <v>0</v>
      </c>
      <c r="R903" s="306">
        <f t="shared" ca="1" si="426"/>
        <v>0</v>
      </c>
      <c r="S903" s="307">
        <f t="shared" ca="1" si="427"/>
        <v>8.5499999999999989</v>
      </c>
      <c r="T903" s="304">
        <f t="shared" ca="1" si="407"/>
        <v>83.875499999999988</v>
      </c>
      <c r="U903" s="311">
        <f t="shared" ca="1" si="408"/>
        <v>0</v>
      </c>
      <c r="V903" s="306">
        <f t="shared" ca="1" si="409"/>
        <v>1.2260402846483704</v>
      </c>
      <c r="W903" s="304">
        <f t="shared" ca="1" si="410"/>
        <v>58.487180601272534</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2.9118408244023275</v>
      </c>
      <c r="AH903" s="304">
        <f t="shared" ca="1" si="434"/>
        <v>-6.8405653725798814</v>
      </c>
    </row>
    <row r="904" spans="1:34" x14ac:dyDescent="0.3">
      <c r="A904" s="347">
        <f t="shared" ca="1" si="412"/>
        <v>1E-4</v>
      </c>
      <c r="B904" s="304">
        <f t="shared" ca="1" si="413"/>
        <v>33.138900000001492</v>
      </c>
      <c r="D904" s="306">
        <f t="shared" ca="1" si="414"/>
        <v>-0.74015242314061691</v>
      </c>
      <c r="E904" s="307">
        <f t="shared" ca="1" si="415"/>
        <v>-3.0095541528740855</v>
      </c>
      <c r="F904" s="304">
        <f t="shared" ca="1" si="416"/>
        <v>3.0992324547478818</v>
      </c>
      <c r="G904" s="306">
        <f t="shared" ca="1" si="417"/>
        <v>13.424522329699824</v>
      </c>
      <c r="H904" s="307">
        <f t="shared" ca="1" si="418"/>
        <v>-123.3441388042839</v>
      </c>
      <c r="I904" s="304">
        <f t="shared" ca="1" si="419"/>
        <v>124.07253675633082</v>
      </c>
      <c r="J904" s="306">
        <f t="shared" ca="1" si="420"/>
        <v>764.67878961306644</v>
      </c>
      <c r="K904" s="307">
        <f t="shared" ca="1" si="421"/>
        <v>-8.5008497030176908</v>
      </c>
      <c r="L904" s="304">
        <f t="shared" ca="1" si="406"/>
        <v>764.72603965719497</v>
      </c>
      <c r="M904" s="306">
        <f t="shared" ca="1" si="422"/>
        <v>-1.4623851089096378</v>
      </c>
      <c r="N904" s="304">
        <f t="shared" ca="1" si="423"/>
        <v>-83.788494763301486</v>
      </c>
      <c r="P904" s="310">
        <f t="shared" ca="1" si="424"/>
        <v>23</v>
      </c>
      <c r="Q904" s="304">
        <f t="shared" ca="1" si="425"/>
        <v>0</v>
      </c>
      <c r="R904" s="306">
        <f t="shared" ca="1" si="426"/>
        <v>0</v>
      </c>
      <c r="S904" s="307">
        <f t="shared" ca="1" si="427"/>
        <v>8.5499999999999989</v>
      </c>
      <c r="T904" s="304">
        <f t="shared" ca="1" si="407"/>
        <v>83.875499999999988</v>
      </c>
      <c r="U904" s="311">
        <f t="shared" ca="1" si="408"/>
        <v>0</v>
      </c>
      <c r="V904" s="306">
        <f t="shared" ca="1" si="409"/>
        <v>1.2260417968965618</v>
      </c>
      <c r="W904" s="304">
        <f t="shared" ca="1" si="410"/>
        <v>58.487527264836658</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2.911801186779635</v>
      </c>
      <c r="AH904" s="304">
        <f t="shared" ca="1" si="434"/>
        <v>-6.8406059182774905</v>
      </c>
    </row>
    <row r="905" spans="1:34" x14ac:dyDescent="0.3">
      <c r="A905" s="347">
        <f t="shared" ca="1" si="412"/>
        <v>1E-4</v>
      </c>
      <c r="B905" s="304">
        <f t="shared" ca="1" si="413"/>
        <v>33.139000000001495</v>
      </c>
      <c r="D905" s="306">
        <f t="shared" ca="1" si="414"/>
        <v>-0.74015099233597081</v>
      </c>
      <c r="E905" s="307">
        <f t="shared" ca="1" si="415"/>
        <v>-3.0095132122620756</v>
      </c>
      <c r="F905" s="304">
        <f t="shared" ca="1" si="416"/>
        <v>3.0991923570885236</v>
      </c>
      <c r="G905" s="306">
        <f t="shared" ca="1" si="417"/>
        <v>13.424448314600591</v>
      </c>
      <c r="H905" s="307">
        <f t="shared" ca="1" si="418"/>
        <v>-123.34443975560512</v>
      </c>
      <c r="I905" s="304">
        <f t="shared" ca="1" si="419"/>
        <v>124.07282793253115</v>
      </c>
      <c r="J905" s="306">
        <f t="shared" ca="1" si="420"/>
        <v>764.67878961306644</v>
      </c>
      <c r="K905" s="307">
        <f t="shared" ca="1" si="421"/>
        <v>-8.5131841319456854</v>
      </c>
      <c r="L905" s="304">
        <f t="shared" ca="1" si="406"/>
        <v>764.72617686866761</v>
      </c>
      <c r="M905" s="306">
        <f t="shared" ca="1" si="422"/>
        <v>-1.4623859644007584</v>
      </c>
      <c r="N905" s="304">
        <f t="shared" ca="1" si="423"/>
        <v>-83.788543779332102</v>
      </c>
      <c r="P905" s="310">
        <f t="shared" ca="1" si="424"/>
        <v>23</v>
      </c>
      <c r="Q905" s="304">
        <f t="shared" ca="1" si="425"/>
        <v>0</v>
      </c>
      <c r="R905" s="306">
        <f t="shared" ca="1" si="426"/>
        <v>0</v>
      </c>
      <c r="S905" s="307">
        <f t="shared" ca="1" si="427"/>
        <v>8.5499999999999989</v>
      </c>
      <c r="T905" s="304">
        <f t="shared" ca="1" si="407"/>
        <v>83.875499999999988</v>
      </c>
      <c r="U905" s="311">
        <f t="shared" ca="1" si="408"/>
        <v>0</v>
      </c>
      <c r="V905" s="306">
        <f t="shared" ca="1" si="409"/>
        <v>1.2260433091503087</v>
      </c>
      <c r="W905" s="304">
        <f t="shared" ca="1" si="410"/>
        <v>58.48787392625028</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2.9117615493920512</v>
      </c>
      <c r="AH905" s="304">
        <f t="shared" ca="1" si="434"/>
        <v>-6.8406464637235862</v>
      </c>
    </row>
    <row r="906" spans="1:34" x14ac:dyDescent="0.3">
      <c r="A906" s="347">
        <f t="shared" ca="1" si="412"/>
        <v>1E-4</v>
      </c>
      <c r="B906" s="304">
        <f t="shared" ca="1" si="413"/>
        <v>33.139100000001498</v>
      </c>
      <c r="D906" s="306">
        <f t="shared" ca="1" si="414"/>
        <v>-0.74014956149398481</v>
      </c>
      <c r="E906" s="307">
        <f t="shared" ca="1" si="415"/>
        <v>-3.0094722719040421</v>
      </c>
      <c r="F906" s="304">
        <f t="shared" ca="1" si="416"/>
        <v>3.099152259689578</v>
      </c>
      <c r="G906" s="306">
        <f t="shared" ca="1" si="417"/>
        <v>13.424374299644441</v>
      </c>
      <c r="H906" s="307">
        <f t="shared" ca="1" si="418"/>
        <v>-123.34474070283231</v>
      </c>
      <c r="I906" s="304">
        <f t="shared" ca="1" si="419"/>
        <v>124.07311910476778</v>
      </c>
      <c r="J906" s="306">
        <f t="shared" ca="1" si="420"/>
        <v>764.67878961306644</v>
      </c>
      <c r="K906" s="307">
        <f t="shared" ca="1" si="421"/>
        <v>-8.5255185909686073</v>
      </c>
      <c r="L906" s="304">
        <f t="shared" ca="1" si="406"/>
        <v>764.72631427939575</v>
      </c>
      <c r="M906" s="306">
        <f t="shared" ca="1" si="422"/>
        <v>-1.4623868198831469</v>
      </c>
      <c r="N906" s="304">
        <f t="shared" ca="1" si="423"/>
        <v>-83.78859279486241</v>
      </c>
      <c r="P906" s="310">
        <f t="shared" ca="1" si="424"/>
        <v>23</v>
      </c>
      <c r="Q906" s="304">
        <f t="shared" ca="1" si="425"/>
        <v>0</v>
      </c>
      <c r="R906" s="306">
        <f t="shared" ca="1" si="426"/>
        <v>0</v>
      </c>
      <c r="S906" s="307">
        <f t="shared" ca="1" si="427"/>
        <v>8.5499999999999989</v>
      </c>
      <c r="T906" s="304">
        <f t="shared" ca="1" si="407"/>
        <v>83.875499999999988</v>
      </c>
      <c r="U906" s="311">
        <f t="shared" ca="1" si="408"/>
        <v>0</v>
      </c>
      <c r="V906" s="306">
        <f t="shared" ca="1" si="409"/>
        <v>1.2260448214096116</v>
      </c>
      <c r="W906" s="304">
        <f t="shared" ca="1" si="410"/>
        <v>58.488220585513417</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2.911721912239579</v>
      </c>
      <c r="AH906" s="304">
        <f t="shared" ca="1" si="434"/>
        <v>-6.8406870089181622</v>
      </c>
    </row>
    <row r="907" spans="1:34" x14ac:dyDescent="0.3">
      <c r="A907" s="347">
        <f t="shared" ca="1" si="412"/>
        <v>1E-4</v>
      </c>
      <c r="B907" s="304">
        <f t="shared" ca="1" si="413"/>
        <v>33.139200000001502</v>
      </c>
      <c r="D907" s="306">
        <f t="shared" ca="1" si="414"/>
        <v>-0.74014813061466189</v>
      </c>
      <c r="E907" s="307">
        <f t="shared" ca="1" si="415"/>
        <v>-3.0094313317999859</v>
      </c>
      <c r="F907" s="304">
        <f t="shared" ca="1" si="416"/>
        <v>3.0991121625510449</v>
      </c>
      <c r="G907" s="306">
        <f t="shared" ca="1" si="417"/>
        <v>13.42430028483138</v>
      </c>
      <c r="H907" s="307">
        <f t="shared" ca="1" si="418"/>
        <v>-123.34504164596549</v>
      </c>
      <c r="I907" s="304">
        <f t="shared" ca="1" si="419"/>
        <v>124.07341027304072</v>
      </c>
      <c r="J907" s="306">
        <f t="shared" ca="1" si="420"/>
        <v>764.67878961306644</v>
      </c>
      <c r="K907" s="307">
        <f t="shared" ca="1" si="421"/>
        <v>-8.5378530800860464</v>
      </c>
      <c r="L907" s="304">
        <f t="shared" ca="1" si="406"/>
        <v>764.72645188938077</v>
      </c>
      <c r="M907" s="306">
        <f t="shared" ca="1" si="422"/>
        <v>-1.4623876753568037</v>
      </c>
      <c r="N907" s="304">
        <f t="shared" ca="1" si="423"/>
        <v>-83.788641809892439</v>
      </c>
      <c r="P907" s="310">
        <f t="shared" ca="1" si="424"/>
        <v>23</v>
      </c>
      <c r="Q907" s="304">
        <f t="shared" ca="1" si="425"/>
        <v>0</v>
      </c>
      <c r="R907" s="306">
        <f t="shared" ca="1" si="426"/>
        <v>0</v>
      </c>
      <c r="S907" s="307">
        <f t="shared" ca="1" si="427"/>
        <v>8.5499999999999989</v>
      </c>
      <c r="T907" s="304">
        <f t="shared" ca="1" si="407"/>
        <v>83.875499999999988</v>
      </c>
      <c r="U907" s="311">
        <f t="shared" ca="1" si="408"/>
        <v>0</v>
      </c>
      <c r="V907" s="306">
        <f t="shared" ca="1" si="409"/>
        <v>1.2260463336744698</v>
      </c>
      <c r="W907" s="304">
        <f t="shared" ca="1" si="410"/>
        <v>58.488567242626026</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2.9116822753222209</v>
      </c>
      <c r="AH907" s="304">
        <f t="shared" ca="1" si="434"/>
        <v>-6.8407275538612193</v>
      </c>
    </row>
    <row r="908" spans="1:34" x14ac:dyDescent="0.3">
      <c r="A908" s="347">
        <f t="shared" ca="1" si="412"/>
        <v>1E-4</v>
      </c>
      <c r="B908" s="304">
        <f t="shared" ca="1" si="413"/>
        <v>33.139300000001505</v>
      </c>
      <c r="D908" s="306">
        <f t="shared" ca="1" si="414"/>
        <v>-0.7401466996980004</v>
      </c>
      <c r="E908" s="307">
        <f t="shared" ca="1" si="415"/>
        <v>-3.0093903919499105</v>
      </c>
      <c r="F908" s="304">
        <f t="shared" ca="1" si="416"/>
        <v>3.0990720656729294</v>
      </c>
      <c r="G908" s="306">
        <f t="shared" ca="1" si="417"/>
        <v>13.424226270161411</v>
      </c>
      <c r="H908" s="307">
        <f t="shared" ca="1" si="418"/>
        <v>-123.34534258500469</v>
      </c>
      <c r="I908" s="304">
        <f t="shared" ca="1" si="419"/>
        <v>124.07370143734998</v>
      </c>
      <c r="J908" s="306">
        <f t="shared" ca="1" si="420"/>
        <v>764.67878961306644</v>
      </c>
      <c r="K908" s="307">
        <f t="shared" ca="1" si="421"/>
        <v>-8.5501875992975958</v>
      </c>
      <c r="L908" s="304">
        <f t="shared" ca="1" si="406"/>
        <v>764.72658969862391</v>
      </c>
      <c r="M908" s="306">
        <f t="shared" ca="1" si="422"/>
        <v>-1.4623885308217286</v>
      </c>
      <c r="N908" s="304">
        <f t="shared" ca="1" si="423"/>
        <v>-83.788690824422147</v>
      </c>
      <c r="P908" s="310">
        <f t="shared" ca="1" si="424"/>
        <v>23</v>
      </c>
      <c r="Q908" s="304">
        <f t="shared" ca="1" si="425"/>
        <v>0</v>
      </c>
      <c r="R908" s="306">
        <f t="shared" ca="1" si="426"/>
        <v>0</v>
      </c>
      <c r="S908" s="307">
        <f t="shared" ca="1" si="427"/>
        <v>8.5499999999999989</v>
      </c>
      <c r="T908" s="304">
        <f t="shared" ca="1" si="407"/>
        <v>83.875499999999988</v>
      </c>
      <c r="U908" s="311">
        <f t="shared" ca="1" si="408"/>
        <v>0</v>
      </c>
      <c r="V908" s="306">
        <f t="shared" ca="1" si="409"/>
        <v>1.226047845944884</v>
      </c>
      <c r="W908" s="304">
        <f t="shared" ca="1" si="410"/>
        <v>58.488913897588105</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2.9116426386399805</v>
      </c>
      <c r="AH908" s="304">
        <f t="shared" ca="1" si="434"/>
        <v>-6.8407680985527524</v>
      </c>
    </row>
    <row r="909" spans="1:34" x14ac:dyDescent="0.3">
      <c r="A909" s="347">
        <f t="shared" ca="1" si="412"/>
        <v>1E-4</v>
      </c>
      <c r="B909" s="304">
        <f t="shared" ca="1" si="413"/>
        <v>33.139400000001508</v>
      </c>
      <c r="D909" s="306">
        <f t="shared" ca="1" si="414"/>
        <v>-0.74014526874400355</v>
      </c>
      <c r="E909" s="307">
        <f t="shared" ca="1" si="415"/>
        <v>-3.009349452353816</v>
      </c>
      <c r="F909" s="304">
        <f t="shared" ca="1" si="416"/>
        <v>3.0990319690552317</v>
      </c>
      <c r="G909" s="306">
        <f t="shared" ca="1" si="417"/>
        <v>13.424152255634537</v>
      </c>
      <c r="H909" s="307">
        <f t="shared" ca="1" si="418"/>
        <v>-123.34564351994992</v>
      </c>
      <c r="I909" s="304">
        <f t="shared" ca="1" si="419"/>
        <v>124.07399259769559</v>
      </c>
      <c r="J909" s="306">
        <f t="shared" ca="1" si="420"/>
        <v>764.67878961306644</v>
      </c>
      <c r="K909" s="307">
        <f t="shared" ca="1" si="421"/>
        <v>-8.5625221486028433</v>
      </c>
      <c r="L909" s="304">
        <f t="shared" ca="1" si="406"/>
        <v>764.72672770712654</v>
      </c>
      <c r="M909" s="306">
        <f t="shared" ca="1" si="422"/>
        <v>-1.462389386277922</v>
      </c>
      <c r="N909" s="304">
        <f t="shared" ca="1" si="423"/>
        <v>-83.78873983845159</v>
      </c>
      <c r="P909" s="310">
        <f t="shared" ca="1" si="424"/>
        <v>23</v>
      </c>
      <c r="Q909" s="304">
        <f t="shared" ca="1" si="425"/>
        <v>0</v>
      </c>
      <c r="R909" s="306">
        <f t="shared" ca="1" si="426"/>
        <v>0</v>
      </c>
      <c r="S909" s="307">
        <f t="shared" ca="1" si="427"/>
        <v>8.5499999999999989</v>
      </c>
      <c r="T909" s="304">
        <f t="shared" ca="1" si="407"/>
        <v>83.875499999999988</v>
      </c>
      <c r="U909" s="311">
        <f t="shared" ca="1" si="408"/>
        <v>0</v>
      </c>
      <c r="V909" s="306">
        <f t="shared" ca="1" si="409"/>
        <v>1.2260493582208545</v>
      </c>
      <c r="W909" s="304">
        <f t="shared" ca="1" si="410"/>
        <v>58.489260550399656</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2.9116030021928605</v>
      </c>
      <c r="AH909" s="304">
        <f t="shared" ca="1" si="434"/>
        <v>-6.8408086429927621</v>
      </c>
    </row>
    <row r="910" spans="1:34" x14ac:dyDescent="0.3">
      <c r="A910" s="347">
        <f t="shared" ca="1" si="412"/>
        <v>1E-4</v>
      </c>
      <c r="B910" s="304">
        <f t="shared" ca="1" si="413"/>
        <v>33.139500000001512</v>
      </c>
      <c r="D910" s="306">
        <f t="shared" ca="1" si="414"/>
        <v>-0.74014383775266979</v>
      </c>
      <c r="E910" s="307">
        <f t="shared" ca="1" si="415"/>
        <v>-3.009308513011705</v>
      </c>
      <c r="F910" s="304">
        <f t="shared" ca="1" si="416"/>
        <v>3.0989918726979537</v>
      </c>
      <c r="G910" s="306">
        <f t="shared" ca="1" si="417"/>
        <v>13.424078241250761</v>
      </c>
      <c r="H910" s="307">
        <f t="shared" ca="1" si="418"/>
        <v>-123.34594445080121</v>
      </c>
      <c r="I910" s="304">
        <f t="shared" ca="1" si="419"/>
        <v>124.07428375407758</v>
      </c>
      <c r="J910" s="306">
        <f t="shared" ca="1" si="420"/>
        <v>764.67878961306644</v>
      </c>
      <c r="K910" s="307">
        <f t="shared" ca="1" si="421"/>
        <v>-8.5748567280013805</v>
      </c>
      <c r="L910" s="304">
        <f t="shared" ca="1" si="406"/>
        <v>764.72686591488991</v>
      </c>
      <c r="M910" s="306">
        <f t="shared" ca="1" si="422"/>
        <v>-1.462390241725384</v>
      </c>
      <c r="N910" s="304">
        <f t="shared" ca="1" si="423"/>
        <v>-83.788788851980769</v>
      </c>
      <c r="P910" s="310">
        <f t="shared" ca="1" si="424"/>
        <v>23</v>
      </c>
      <c r="Q910" s="304">
        <f t="shared" ca="1" si="425"/>
        <v>0</v>
      </c>
      <c r="R910" s="306">
        <f t="shared" ca="1" si="426"/>
        <v>0</v>
      </c>
      <c r="S910" s="307">
        <f t="shared" ca="1" si="427"/>
        <v>8.5499999999999989</v>
      </c>
      <c r="T910" s="304">
        <f t="shared" ca="1" si="407"/>
        <v>83.875499999999988</v>
      </c>
      <c r="U910" s="311">
        <f t="shared" ca="1" si="408"/>
        <v>0</v>
      </c>
      <c r="V910" s="306">
        <f t="shared" ca="1" si="409"/>
        <v>1.2260508705023803</v>
      </c>
      <c r="W910" s="304">
        <f t="shared" ca="1" si="410"/>
        <v>58.489607201060643</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2.9115633659808591</v>
      </c>
      <c r="AH910" s="304">
        <f t="shared" ca="1" si="434"/>
        <v>-6.8408491871812469</v>
      </c>
    </row>
    <row r="911" spans="1:34" x14ac:dyDescent="0.3">
      <c r="A911" s="347">
        <f t="shared" ca="1" si="412"/>
        <v>1E-4</v>
      </c>
      <c r="B911" s="304">
        <f t="shared" ca="1" si="413"/>
        <v>33.139600000001515</v>
      </c>
      <c r="D911" s="306">
        <f t="shared" ca="1" si="414"/>
        <v>-0.74014240672400089</v>
      </c>
      <c r="E911" s="307">
        <f t="shared" ca="1" si="415"/>
        <v>-3.0092675739235775</v>
      </c>
      <c r="F911" s="304">
        <f t="shared" ca="1" si="416"/>
        <v>3.0989517766010963</v>
      </c>
      <c r="G911" s="306">
        <f t="shared" ca="1" si="417"/>
        <v>13.424004227010089</v>
      </c>
      <c r="H911" s="307">
        <f t="shared" ca="1" si="418"/>
        <v>-123.3462453775586</v>
      </c>
      <c r="I911" s="304">
        <f t="shared" ca="1" si="419"/>
        <v>124.07457490649598</v>
      </c>
      <c r="J911" s="306">
        <f t="shared" ca="1" si="420"/>
        <v>764.67878961306644</v>
      </c>
      <c r="K911" s="307">
        <f t="shared" ca="1" si="421"/>
        <v>-8.5871913374927988</v>
      </c>
      <c r="L911" s="304">
        <f t="shared" ca="1" si="406"/>
        <v>764.72700432191562</v>
      </c>
      <c r="M911" s="306">
        <f t="shared" ca="1" si="422"/>
        <v>-1.4623910971641145</v>
      </c>
      <c r="N911" s="304">
        <f t="shared" ca="1" si="423"/>
        <v>-83.788837865009654</v>
      </c>
      <c r="P911" s="310">
        <f t="shared" ca="1" si="424"/>
        <v>23</v>
      </c>
      <c r="Q911" s="304">
        <f t="shared" ca="1" si="425"/>
        <v>0</v>
      </c>
      <c r="R911" s="306">
        <f t="shared" ca="1" si="426"/>
        <v>0</v>
      </c>
      <c r="S911" s="307">
        <f t="shared" ca="1" si="427"/>
        <v>8.5499999999999989</v>
      </c>
      <c r="T911" s="304">
        <f t="shared" ca="1" si="407"/>
        <v>83.875499999999988</v>
      </c>
      <c r="U911" s="311">
        <f t="shared" ca="1" si="408"/>
        <v>0</v>
      </c>
      <c r="V911" s="306">
        <f t="shared" ca="1" si="409"/>
        <v>1.2260523827894618</v>
      </c>
      <c r="W911" s="304">
        <f t="shared" ca="1" si="410"/>
        <v>58.489953849571073</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2.9115237300039798</v>
      </c>
      <c r="AH911" s="304">
        <f t="shared" ca="1" si="434"/>
        <v>-6.8408897311182049</v>
      </c>
    </row>
    <row r="912" spans="1:34" x14ac:dyDescent="0.3">
      <c r="A912" s="347">
        <f t="shared" ca="1" si="412"/>
        <v>1E-4</v>
      </c>
      <c r="B912" s="304">
        <f t="shared" ca="1" si="413"/>
        <v>33.139700000001518</v>
      </c>
      <c r="D912" s="306">
        <f t="shared" ca="1" si="414"/>
        <v>-0.74014097565799808</v>
      </c>
      <c r="E912" s="307">
        <f t="shared" ca="1" si="415"/>
        <v>-3.0092266350894361</v>
      </c>
      <c r="F912" s="304">
        <f t="shared" ca="1" si="416"/>
        <v>3.0989116807646622</v>
      </c>
      <c r="G912" s="306">
        <f t="shared" ca="1" si="417"/>
        <v>13.423930212912524</v>
      </c>
      <c r="H912" s="307">
        <f t="shared" ca="1" si="418"/>
        <v>-123.34654630022212</v>
      </c>
      <c r="I912" s="304">
        <f t="shared" ca="1" si="419"/>
        <v>124.0748660549508</v>
      </c>
      <c r="J912" s="306">
        <f t="shared" ca="1" si="420"/>
        <v>764.67878961306644</v>
      </c>
      <c r="K912" s="307">
        <f t="shared" ca="1" si="421"/>
        <v>-8.5995259770766879</v>
      </c>
      <c r="L912" s="304">
        <f t="shared" ca="1" si="406"/>
        <v>764.72714292820467</v>
      </c>
      <c r="M912" s="306">
        <f t="shared" ca="1" si="422"/>
        <v>-1.462391952594114</v>
      </c>
      <c r="N912" s="304">
        <f t="shared" ca="1" si="423"/>
        <v>-83.788886877538289</v>
      </c>
      <c r="P912" s="310">
        <f t="shared" ca="1" si="424"/>
        <v>23</v>
      </c>
      <c r="Q912" s="304">
        <f t="shared" ca="1" si="425"/>
        <v>0</v>
      </c>
      <c r="R912" s="306">
        <f t="shared" ca="1" si="426"/>
        <v>0</v>
      </c>
      <c r="S912" s="307">
        <f t="shared" ca="1" si="427"/>
        <v>8.5499999999999989</v>
      </c>
      <c r="T912" s="304">
        <f t="shared" ca="1" si="407"/>
        <v>83.875499999999988</v>
      </c>
      <c r="U912" s="311">
        <f t="shared" ca="1" si="408"/>
        <v>0</v>
      </c>
      <c r="V912" s="306">
        <f t="shared" ca="1" si="409"/>
        <v>1.2260538950820987</v>
      </c>
      <c r="W912" s="304">
        <f t="shared" ca="1" si="410"/>
        <v>58.490300495930903</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2.9114840942622253</v>
      </c>
      <c r="AH912" s="304">
        <f t="shared" ca="1" si="434"/>
        <v>-6.8409302748036351</v>
      </c>
    </row>
    <row r="913" spans="1:34" x14ac:dyDescent="0.3">
      <c r="A913" s="347">
        <f t="shared" ca="1" si="412"/>
        <v>1E-4</v>
      </c>
      <c r="B913" s="304">
        <f t="shared" ca="1" si="413"/>
        <v>33.139800000001522</v>
      </c>
      <c r="D913" s="306">
        <f t="shared" ca="1" si="414"/>
        <v>-0.7401395445546598</v>
      </c>
      <c r="E913" s="307">
        <f t="shared" ca="1" si="415"/>
        <v>-3.0091856965092836</v>
      </c>
      <c r="F913" s="304">
        <f t="shared" ca="1" si="416"/>
        <v>3.0988715851886539</v>
      </c>
      <c r="G913" s="306">
        <f t="shared" ca="1" si="417"/>
        <v>13.423856198958068</v>
      </c>
      <c r="H913" s="307">
        <f t="shared" ca="1" si="418"/>
        <v>-123.34684721879177</v>
      </c>
      <c r="I913" s="304">
        <f t="shared" ca="1" si="419"/>
        <v>124.07515719944207</v>
      </c>
      <c r="J913" s="306">
        <f t="shared" ca="1" si="420"/>
        <v>764.67878961306644</v>
      </c>
      <c r="K913" s="307">
        <f t="shared" ca="1" si="421"/>
        <v>-8.6118606467526391</v>
      </c>
      <c r="L913" s="304">
        <f t="shared" ca="1" si="406"/>
        <v>764.72728173375867</v>
      </c>
      <c r="M913" s="306">
        <f t="shared" ca="1" si="422"/>
        <v>-1.4623928080153825</v>
      </c>
      <c r="N913" s="304">
        <f t="shared" ca="1" si="423"/>
        <v>-83.788935889566687</v>
      </c>
      <c r="P913" s="310">
        <f t="shared" ca="1" si="424"/>
        <v>23</v>
      </c>
      <c r="Q913" s="304">
        <f t="shared" ca="1" si="425"/>
        <v>0</v>
      </c>
      <c r="R913" s="306">
        <f t="shared" ca="1" si="426"/>
        <v>0</v>
      </c>
      <c r="S913" s="307">
        <f t="shared" ca="1" si="427"/>
        <v>8.5499999999999989</v>
      </c>
      <c r="T913" s="304">
        <f t="shared" ca="1" si="407"/>
        <v>83.875499999999988</v>
      </c>
      <c r="U913" s="311">
        <f t="shared" ca="1" si="408"/>
        <v>0</v>
      </c>
      <c r="V913" s="306">
        <f t="shared" ca="1" si="409"/>
        <v>1.2260554073802916</v>
      </c>
      <c r="W913" s="304">
        <f t="shared" ca="1" si="410"/>
        <v>58.490647140140162</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2.9114444587556001</v>
      </c>
      <c r="AH913" s="304">
        <f t="shared" ca="1" si="434"/>
        <v>-6.8409708182375333</v>
      </c>
    </row>
    <row r="914" spans="1:34" x14ac:dyDescent="0.3">
      <c r="A914" s="347">
        <f t="shared" ca="1" si="412"/>
        <v>1E-4</v>
      </c>
      <c r="B914" s="304">
        <f t="shared" ca="1" si="413"/>
        <v>33.139900000001525</v>
      </c>
      <c r="D914" s="306">
        <f t="shared" ca="1" si="414"/>
        <v>-0.74013811341398827</v>
      </c>
      <c r="E914" s="307">
        <f t="shared" ca="1" si="415"/>
        <v>-3.0091447581831172</v>
      </c>
      <c r="F914" s="304">
        <f t="shared" ca="1" si="416"/>
        <v>3.0988314898730698</v>
      </c>
      <c r="G914" s="306">
        <f t="shared" ca="1" si="417"/>
        <v>13.423782185146727</v>
      </c>
      <c r="H914" s="307">
        <f t="shared" ca="1" si="418"/>
        <v>-123.34714813326758</v>
      </c>
      <c r="I914" s="304">
        <f t="shared" ca="1" si="419"/>
        <v>124.07544833996982</v>
      </c>
      <c r="J914" s="306">
        <f t="shared" ca="1" si="420"/>
        <v>764.67878961306644</v>
      </c>
      <c r="K914" s="307">
        <f t="shared" ca="1" si="421"/>
        <v>-8.6241953465202421</v>
      </c>
      <c r="L914" s="304">
        <f t="shared" ca="1" si="406"/>
        <v>764.72742073857876</v>
      </c>
      <c r="M914" s="306">
        <f t="shared" ca="1" si="422"/>
        <v>-1.46239366342792</v>
      </c>
      <c r="N914" s="304">
        <f t="shared" ca="1" si="423"/>
        <v>-83.788984901094821</v>
      </c>
      <c r="P914" s="310">
        <f t="shared" ca="1" si="424"/>
        <v>23</v>
      </c>
      <c r="Q914" s="304">
        <f t="shared" ca="1" si="425"/>
        <v>0</v>
      </c>
      <c r="R914" s="306">
        <f t="shared" ca="1" si="426"/>
        <v>0</v>
      </c>
      <c r="S914" s="307">
        <f t="shared" ca="1" si="427"/>
        <v>8.5499999999999989</v>
      </c>
      <c r="T914" s="304">
        <f t="shared" ca="1" si="407"/>
        <v>83.875499999999988</v>
      </c>
      <c r="U914" s="311">
        <f t="shared" ca="1" si="408"/>
        <v>0</v>
      </c>
      <c r="V914" s="306">
        <f t="shared" ca="1" si="409"/>
        <v>1.2260569196840398</v>
      </c>
      <c r="W914" s="304">
        <f t="shared" ca="1" si="410"/>
        <v>58.490993782198807</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2.9114048234840988</v>
      </c>
      <c r="AH914" s="304">
        <f t="shared" ca="1" si="434"/>
        <v>-6.8410113614199028</v>
      </c>
    </row>
    <row r="915" spans="1:34" x14ac:dyDescent="0.3">
      <c r="A915" s="347">
        <f t="shared" ca="1" si="412"/>
        <v>1E-4</v>
      </c>
      <c r="B915" s="304">
        <f t="shared" ca="1" si="413"/>
        <v>33.140000000001528</v>
      </c>
      <c r="D915" s="306">
        <f t="shared" ca="1" si="414"/>
        <v>-0.74013668223598428</v>
      </c>
      <c r="E915" s="307">
        <f t="shared" ca="1" si="415"/>
        <v>-3.0091038201109432</v>
      </c>
      <c r="F915" s="304">
        <f t="shared" ca="1" si="416"/>
        <v>3.0987913948179155</v>
      </c>
      <c r="G915" s="306">
        <f t="shared" ca="1" si="417"/>
        <v>13.423708171478504</v>
      </c>
      <c r="H915" s="307">
        <f t="shared" ca="1" si="418"/>
        <v>-123.34744904364959</v>
      </c>
      <c r="I915" s="304">
        <f t="shared" ca="1" si="419"/>
        <v>124.07573947653405</v>
      </c>
      <c r="J915" s="306">
        <f t="shared" ca="1" si="420"/>
        <v>764.67878961306644</v>
      </c>
      <c r="K915" s="307">
        <f t="shared" ca="1" si="421"/>
        <v>-8.6365300763790884</v>
      </c>
      <c r="L915" s="304">
        <f t="shared" ca="1" si="406"/>
        <v>764.7275599426664</v>
      </c>
      <c r="M915" s="306">
        <f t="shared" ca="1" si="422"/>
        <v>-1.4623945188317267</v>
      </c>
      <c r="N915" s="304">
        <f t="shared" ca="1" si="423"/>
        <v>-83.789033912122733</v>
      </c>
      <c r="P915" s="310">
        <f t="shared" ca="1" si="424"/>
        <v>23</v>
      </c>
      <c r="Q915" s="304">
        <f t="shared" ca="1" si="425"/>
        <v>0</v>
      </c>
      <c r="R915" s="306">
        <f t="shared" ca="1" si="426"/>
        <v>0</v>
      </c>
      <c r="S915" s="307">
        <f t="shared" ca="1" si="427"/>
        <v>8.5499999999999989</v>
      </c>
      <c r="T915" s="304">
        <f t="shared" ca="1" si="407"/>
        <v>83.875499999999988</v>
      </c>
      <c r="U915" s="311">
        <f t="shared" ca="1" si="408"/>
        <v>0</v>
      </c>
      <c r="V915" s="306">
        <f t="shared" ca="1" si="409"/>
        <v>1.2260584319933439</v>
      </c>
      <c r="W915" s="304">
        <f t="shared" ca="1" si="410"/>
        <v>58.49134042210683</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2.9113651884477303</v>
      </c>
      <c r="AH915" s="304">
        <f t="shared" ca="1" si="434"/>
        <v>-6.8410519043507385</v>
      </c>
    </row>
    <row r="916" spans="1:34" x14ac:dyDescent="0.3">
      <c r="A916" s="347">
        <f t="shared" ca="1" si="412"/>
        <v>1E-4</v>
      </c>
      <c r="B916" s="304">
        <f t="shared" ca="1" si="413"/>
        <v>33.140100000001532</v>
      </c>
      <c r="D916" s="306">
        <f t="shared" ca="1" si="414"/>
        <v>-0.74013525102064814</v>
      </c>
      <c r="E916" s="307">
        <f t="shared" ca="1" si="415"/>
        <v>-3.0090628822927608</v>
      </c>
      <c r="F916" s="304">
        <f t="shared" ca="1" si="416"/>
        <v>3.0987513000231908</v>
      </c>
      <c r="G916" s="306">
        <f t="shared" ca="1" si="417"/>
        <v>13.423634157953401</v>
      </c>
      <c r="H916" s="307">
        <f t="shared" ca="1" si="418"/>
        <v>-123.34774994993782</v>
      </c>
      <c r="I916" s="304">
        <f t="shared" ca="1" si="419"/>
        <v>124.07603060913482</v>
      </c>
      <c r="J916" s="306">
        <f t="shared" ca="1" si="420"/>
        <v>764.67878961306644</v>
      </c>
      <c r="K916" s="307">
        <f t="shared" ca="1" si="421"/>
        <v>-8.6488648363287677</v>
      </c>
      <c r="L916" s="304">
        <f t="shared" ca="1" si="406"/>
        <v>764.72769934602309</v>
      </c>
      <c r="M916" s="306">
        <f t="shared" ca="1" si="422"/>
        <v>-1.462395374226803</v>
      </c>
      <c r="N916" s="304">
        <f t="shared" ca="1" si="423"/>
        <v>-83.789082922650422</v>
      </c>
      <c r="P916" s="310">
        <f t="shared" ca="1" si="424"/>
        <v>23</v>
      </c>
      <c r="Q916" s="304">
        <f t="shared" ca="1" si="425"/>
        <v>0</v>
      </c>
      <c r="R916" s="306">
        <f t="shared" ca="1" si="426"/>
        <v>0</v>
      </c>
      <c r="S916" s="307">
        <f t="shared" ca="1" si="427"/>
        <v>8.5499999999999989</v>
      </c>
      <c r="T916" s="304">
        <f t="shared" ca="1" si="407"/>
        <v>83.875499999999988</v>
      </c>
      <c r="U916" s="311">
        <f t="shared" ca="1" si="408"/>
        <v>0</v>
      </c>
      <c r="V916" s="306">
        <f t="shared" ca="1" si="409"/>
        <v>1.2260599443082032</v>
      </c>
      <c r="W916" s="304">
        <f t="shared" ca="1" si="410"/>
        <v>58.491687059864226</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2.9113255536464919</v>
      </c>
      <c r="AH916" s="304">
        <f t="shared" ca="1" si="434"/>
        <v>-6.8410924470300394</v>
      </c>
    </row>
    <row r="917" spans="1:34" x14ac:dyDescent="0.3">
      <c r="A917" s="347">
        <f t="shared" ca="1" si="412"/>
        <v>1E-4</v>
      </c>
      <c r="B917" s="304">
        <f t="shared" ca="1" si="413"/>
        <v>33.140200000001535</v>
      </c>
      <c r="D917" s="306">
        <f t="shared" ca="1" si="414"/>
        <v>-0.74013381976797854</v>
      </c>
      <c r="E917" s="307">
        <f t="shared" ca="1" si="415"/>
        <v>-3.0090219447285715</v>
      </c>
      <c r="F917" s="304">
        <f t="shared" ca="1" si="416"/>
        <v>3.0987112054888968</v>
      </c>
      <c r="G917" s="306">
        <f t="shared" ca="1" si="417"/>
        <v>13.423560144571425</v>
      </c>
      <c r="H917" s="307">
        <f t="shared" ca="1" si="418"/>
        <v>-123.34805085213229</v>
      </c>
      <c r="I917" s="304">
        <f t="shared" ca="1" si="419"/>
        <v>124.0763217377721</v>
      </c>
      <c r="J917" s="306">
        <f t="shared" ca="1" si="420"/>
        <v>764.67878961306644</v>
      </c>
      <c r="K917" s="307">
        <f t="shared" ca="1" si="421"/>
        <v>-8.6611996263688713</v>
      </c>
      <c r="L917" s="304">
        <f t="shared" ca="1" si="406"/>
        <v>764.72783894864983</v>
      </c>
      <c r="M917" s="306">
        <f t="shared" ca="1" si="422"/>
        <v>-1.4623962296131485</v>
      </c>
      <c r="N917" s="304">
        <f t="shared" ca="1" si="423"/>
        <v>-83.789131932677861</v>
      </c>
      <c r="P917" s="310">
        <f t="shared" ca="1" si="424"/>
        <v>23</v>
      </c>
      <c r="Q917" s="304">
        <f t="shared" ca="1" si="425"/>
        <v>0</v>
      </c>
      <c r="R917" s="306">
        <f t="shared" ca="1" si="426"/>
        <v>0</v>
      </c>
      <c r="S917" s="307">
        <f t="shared" ca="1" si="427"/>
        <v>8.5499999999999989</v>
      </c>
      <c r="T917" s="304">
        <f t="shared" ca="1" si="407"/>
        <v>83.875499999999988</v>
      </c>
      <c r="U917" s="311">
        <f t="shared" ca="1" si="408"/>
        <v>0</v>
      </c>
      <c r="V917" s="306">
        <f t="shared" ca="1" si="409"/>
        <v>1.2260614566286177</v>
      </c>
      <c r="W917" s="304">
        <f t="shared" ca="1" si="410"/>
        <v>58.49203369547093</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2.9112859190803873</v>
      </c>
      <c r="AH917" s="304">
        <f t="shared" ca="1" si="434"/>
        <v>-6.8411329894578055</v>
      </c>
    </row>
    <row r="918" spans="1:34" x14ac:dyDescent="0.3">
      <c r="A918" s="347">
        <f t="shared" ca="1" si="412"/>
        <v>1E-4</v>
      </c>
      <c r="B918" s="304">
        <f t="shared" ca="1" si="413"/>
        <v>33.140300000001538</v>
      </c>
      <c r="D918" s="306">
        <f t="shared" ca="1" si="414"/>
        <v>-0.74013238847797924</v>
      </c>
      <c r="E918" s="307">
        <f t="shared" ca="1" si="415"/>
        <v>-3.0089810074183836</v>
      </c>
      <c r="F918" s="304">
        <f t="shared" ca="1" si="416"/>
        <v>3.0986711112150429</v>
      </c>
      <c r="G918" s="306">
        <f t="shared" ca="1" si="417"/>
        <v>13.423486131332577</v>
      </c>
      <c r="H918" s="307">
        <f t="shared" ca="1" si="418"/>
        <v>-123.34835175023304</v>
      </c>
      <c r="I918" s="304">
        <f t="shared" ca="1" si="419"/>
        <v>124.07661286244598</v>
      </c>
      <c r="J918" s="306">
        <f t="shared" ca="1" si="420"/>
        <v>764.67878961306644</v>
      </c>
      <c r="K918" s="307">
        <f t="shared" ca="1" si="421"/>
        <v>-8.673534446498989</v>
      </c>
      <c r="L918" s="304">
        <f t="shared" ca="1" si="406"/>
        <v>764.72797875054823</v>
      </c>
      <c r="M918" s="306">
        <f t="shared" ca="1" si="422"/>
        <v>-1.4623970849907639</v>
      </c>
      <c r="N918" s="304">
        <f t="shared" ca="1" si="423"/>
        <v>-83.789180942205121</v>
      </c>
      <c r="P918" s="310">
        <f t="shared" ca="1" si="424"/>
        <v>23</v>
      </c>
      <c r="Q918" s="304">
        <f t="shared" ca="1" si="425"/>
        <v>0</v>
      </c>
      <c r="R918" s="306">
        <f t="shared" ca="1" si="426"/>
        <v>0</v>
      </c>
      <c r="S918" s="307">
        <f t="shared" ca="1" si="427"/>
        <v>8.5499999999999989</v>
      </c>
      <c r="T918" s="304">
        <f t="shared" ca="1" si="407"/>
        <v>83.875499999999988</v>
      </c>
      <c r="U918" s="311">
        <f t="shared" ca="1" si="408"/>
        <v>0</v>
      </c>
      <c r="V918" s="306">
        <f t="shared" ca="1" si="409"/>
        <v>1.2260629689545883</v>
      </c>
      <c r="W918" s="304">
        <f t="shared" ca="1" si="410"/>
        <v>58.492380328927041</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2.9112462847494252</v>
      </c>
      <c r="AH918" s="304">
        <f t="shared" ca="1" si="434"/>
        <v>-6.8411735316340279</v>
      </c>
    </row>
    <row r="919" spans="1:34" x14ac:dyDescent="0.3">
      <c r="A919" s="347">
        <f t="shared" ca="1" si="412"/>
        <v>1E-4</v>
      </c>
      <c r="B919" s="304">
        <f t="shared" ca="1" si="413"/>
        <v>33.140400000001542</v>
      </c>
      <c r="D919" s="306">
        <f t="shared" ca="1" si="414"/>
        <v>-0.7401309571506488</v>
      </c>
      <c r="E919" s="307">
        <f t="shared" ca="1" si="415"/>
        <v>-3.0089400703621836</v>
      </c>
      <c r="F919" s="304">
        <f t="shared" ca="1" si="416"/>
        <v>3.0986310172016154</v>
      </c>
      <c r="G919" s="306">
        <f t="shared" ca="1" si="417"/>
        <v>13.423412118236863</v>
      </c>
      <c r="H919" s="307">
        <f t="shared" ca="1" si="418"/>
        <v>-123.34865264424008</v>
      </c>
      <c r="I919" s="304">
        <f t="shared" ca="1" si="419"/>
        <v>124.07690398315644</v>
      </c>
      <c r="J919" s="306">
        <f t="shared" ca="1" si="420"/>
        <v>764.67878961306644</v>
      </c>
      <c r="K919" s="307">
        <f t="shared" ca="1" si="421"/>
        <v>-8.6858692967187121</v>
      </c>
      <c r="L919" s="304">
        <f t="shared" ca="1" si="406"/>
        <v>764.72811875171942</v>
      </c>
      <c r="M919" s="306">
        <f t="shared" ca="1" si="422"/>
        <v>-1.462397940359649</v>
      </c>
      <c r="N919" s="304">
        <f t="shared" ca="1" si="423"/>
        <v>-83.789229951232159</v>
      </c>
      <c r="P919" s="310">
        <f t="shared" ca="1" si="424"/>
        <v>23</v>
      </c>
      <c r="Q919" s="304">
        <f t="shared" ca="1" si="425"/>
        <v>0</v>
      </c>
      <c r="R919" s="306">
        <f t="shared" ca="1" si="426"/>
        <v>0</v>
      </c>
      <c r="S919" s="307">
        <f t="shared" ca="1" si="427"/>
        <v>8.5499999999999989</v>
      </c>
      <c r="T919" s="304">
        <f t="shared" ca="1" si="407"/>
        <v>83.875499999999988</v>
      </c>
      <c r="U919" s="311">
        <f t="shared" ca="1" si="408"/>
        <v>0</v>
      </c>
      <c r="V919" s="306">
        <f t="shared" ca="1" si="409"/>
        <v>1.2260644812861139</v>
      </c>
      <c r="W919" s="304">
        <f t="shared" ca="1" si="410"/>
        <v>58.492726960232439</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2.9112066506535932</v>
      </c>
      <c r="AH919" s="304">
        <f t="shared" ca="1" si="434"/>
        <v>-6.841214073558719</v>
      </c>
    </row>
    <row r="920" spans="1:34" x14ac:dyDescent="0.3">
      <c r="A920" s="347">
        <f t="shared" ca="1" si="412"/>
        <v>1E-4</v>
      </c>
      <c r="B920" s="304">
        <f t="shared" ca="1" si="413"/>
        <v>33.140500000001545</v>
      </c>
      <c r="D920" s="306">
        <f t="shared" ca="1" si="414"/>
        <v>-0.74012952578598867</v>
      </c>
      <c r="E920" s="307">
        <f t="shared" ca="1" si="415"/>
        <v>-3.0088991335599875</v>
      </c>
      <c r="F920" s="304">
        <f t="shared" ca="1" si="416"/>
        <v>3.0985909234486302</v>
      </c>
      <c r="G920" s="306">
        <f t="shared" ca="1" si="417"/>
        <v>13.423338105284284</v>
      </c>
      <c r="H920" s="307">
        <f t="shared" ca="1" si="418"/>
        <v>-123.34895353415344</v>
      </c>
      <c r="I920" s="304">
        <f t="shared" ca="1" si="419"/>
        <v>124.07719509990352</v>
      </c>
      <c r="J920" s="306">
        <f t="shared" ca="1" si="420"/>
        <v>764.67878961306644</v>
      </c>
      <c r="K920" s="307">
        <f t="shared" ca="1" si="421"/>
        <v>-8.6982041770276322</v>
      </c>
      <c r="L920" s="304">
        <f t="shared" ca="1" si="406"/>
        <v>764.72825895216499</v>
      </c>
      <c r="M920" s="306">
        <f t="shared" ca="1" si="422"/>
        <v>-1.4623987957198039</v>
      </c>
      <c r="N920" s="304">
        <f t="shared" ca="1" si="423"/>
        <v>-83.789278959759002</v>
      </c>
      <c r="P920" s="310">
        <f t="shared" ca="1" si="424"/>
        <v>23</v>
      </c>
      <c r="Q920" s="304">
        <f t="shared" ca="1" si="425"/>
        <v>0</v>
      </c>
      <c r="R920" s="306">
        <f t="shared" ca="1" si="426"/>
        <v>0</v>
      </c>
      <c r="S920" s="307">
        <f t="shared" ca="1" si="427"/>
        <v>8.5499999999999989</v>
      </c>
      <c r="T920" s="304">
        <f t="shared" ca="1" si="407"/>
        <v>83.875499999999988</v>
      </c>
      <c r="U920" s="311">
        <f t="shared" ca="1" si="408"/>
        <v>0</v>
      </c>
      <c r="V920" s="306">
        <f t="shared" ca="1" si="409"/>
        <v>1.2260659936231952</v>
      </c>
      <c r="W920" s="304">
        <f t="shared" ca="1" si="410"/>
        <v>58.493073589387173</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2.9111670167929056</v>
      </c>
      <c r="AH920" s="304">
        <f t="shared" ca="1" si="434"/>
        <v>-6.8412546152318647</v>
      </c>
    </row>
    <row r="921" spans="1:34" x14ac:dyDescent="0.3">
      <c r="A921" s="347">
        <f t="shared" ca="1" si="412"/>
        <v>1E-4</v>
      </c>
      <c r="B921" s="304">
        <f t="shared" ca="1" si="413"/>
        <v>33.140600000001548</v>
      </c>
      <c r="D921" s="306">
        <f t="shared" ca="1" si="414"/>
        <v>-0.74012809438399996</v>
      </c>
      <c r="E921" s="307">
        <f t="shared" ca="1" si="415"/>
        <v>-3.0088581970117882</v>
      </c>
      <c r="F921" s="304">
        <f t="shared" ca="1" si="416"/>
        <v>3.0985508299560811</v>
      </c>
      <c r="G921" s="306">
        <f t="shared" ca="1" si="417"/>
        <v>13.423264092474845</v>
      </c>
      <c r="H921" s="307">
        <f t="shared" ca="1" si="418"/>
        <v>-123.34925441997314</v>
      </c>
      <c r="I921" s="304">
        <f t="shared" ca="1" si="419"/>
        <v>124.07748621268722</v>
      </c>
      <c r="J921" s="306">
        <f t="shared" ca="1" si="420"/>
        <v>764.67878961306644</v>
      </c>
      <c r="K921" s="307">
        <f t="shared" ca="1" si="421"/>
        <v>-8.7105390874253388</v>
      </c>
      <c r="L921" s="304">
        <f t="shared" ca="1" si="406"/>
        <v>764.72839935188608</v>
      </c>
      <c r="M921" s="306">
        <f t="shared" ca="1" si="422"/>
        <v>-1.4623996510712289</v>
      </c>
      <c r="N921" s="304">
        <f t="shared" ca="1" si="423"/>
        <v>-83.789327967785653</v>
      </c>
      <c r="P921" s="310">
        <f t="shared" ca="1" si="424"/>
        <v>23</v>
      </c>
      <c r="Q921" s="304">
        <f t="shared" ca="1" si="425"/>
        <v>0</v>
      </c>
      <c r="R921" s="306">
        <f t="shared" ca="1" si="426"/>
        <v>0</v>
      </c>
      <c r="S921" s="307">
        <f t="shared" ca="1" si="427"/>
        <v>8.5499999999999989</v>
      </c>
      <c r="T921" s="304">
        <f t="shared" ca="1" si="407"/>
        <v>83.875499999999988</v>
      </c>
      <c r="U921" s="311">
        <f t="shared" ca="1" si="408"/>
        <v>0</v>
      </c>
      <c r="V921" s="306">
        <f t="shared" ca="1" si="409"/>
        <v>1.2260675059658315</v>
      </c>
      <c r="W921" s="304">
        <f t="shared" ca="1" si="410"/>
        <v>58.493420216391165</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2.9111273831673561</v>
      </c>
      <c r="AH921" s="304">
        <f t="shared" ca="1" si="434"/>
        <v>-6.8412951566534712</v>
      </c>
    </row>
    <row r="922" spans="1:34" x14ac:dyDescent="0.3">
      <c r="A922" s="347">
        <f t="shared" ca="1" si="412"/>
        <v>1E-4</v>
      </c>
      <c r="B922" s="304">
        <f t="shared" ca="1" si="413"/>
        <v>33.140700000001551</v>
      </c>
      <c r="D922" s="306">
        <f t="shared" ca="1" si="414"/>
        <v>-0.74012666294468188</v>
      </c>
      <c r="E922" s="307">
        <f t="shared" ca="1" si="415"/>
        <v>-3.0088172607175956</v>
      </c>
      <c r="F922" s="304">
        <f t="shared" ca="1" si="416"/>
        <v>3.0985107367239775</v>
      </c>
      <c r="G922" s="306">
        <f t="shared" ca="1" si="417"/>
        <v>13.423190079808551</v>
      </c>
      <c r="H922" s="307">
        <f t="shared" ca="1" si="418"/>
        <v>-123.34955530169921</v>
      </c>
      <c r="I922" s="304">
        <f t="shared" ca="1" si="419"/>
        <v>124.07777732150758</v>
      </c>
      <c r="J922" s="306">
        <f t="shared" ca="1" si="420"/>
        <v>764.67878961306644</v>
      </c>
      <c r="K922" s="307">
        <f t="shared" ca="1" si="421"/>
        <v>-8.7228740279114216</v>
      </c>
      <c r="L922" s="304">
        <f t="shared" ca="1" si="406"/>
        <v>764.72853995088428</v>
      </c>
      <c r="M922" s="306">
        <f t="shared" ca="1" si="422"/>
        <v>-1.4624005064139243</v>
      </c>
      <c r="N922" s="304">
        <f t="shared" ca="1" si="423"/>
        <v>-83.789376975312138</v>
      </c>
      <c r="P922" s="310">
        <f t="shared" ca="1" si="424"/>
        <v>23</v>
      </c>
      <c r="Q922" s="304">
        <f t="shared" ca="1" si="425"/>
        <v>0</v>
      </c>
      <c r="R922" s="306">
        <f t="shared" ca="1" si="426"/>
        <v>0</v>
      </c>
      <c r="S922" s="307">
        <f t="shared" ca="1" si="427"/>
        <v>8.5499999999999989</v>
      </c>
      <c r="T922" s="304">
        <f t="shared" ca="1" si="407"/>
        <v>83.875499999999988</v>
      </c>
      <c r="U922" s="311">
        <f t="shared" ca="1" si="408"/>
        <v>0</v>
      </c>
      <c r="V922" s="306">
        <f t="shared" ca="1" si="409"/>
        <v>1.2260690183140233</v>
      </c>
      <c r="W922" s="304">
        <f t="shared" ca="1" si="410"/>
        <v>58.493766841244458</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2.9110877497769545</v>
      </c>
      <c r="AH922" s="304">
        <f t="shared" ca="1" si="434"/>
        <v>-6.8413356978235287</v>
      </c>
    </row>
    <row r="923" spans="1:34" x14ac:dyDescent="0.3">
      <c r="A923" s="347">
        <f t="shared" ca="1" si="412"/>
        <v>1E-4</v>
      </c>
      <c r="B923" s="304">
        <f t="shared" ca="1" si="413"/>
        <v>33.140800000001555</v>
      </c>
      <c r="D923" s="306">
        <f t="shared" ca="1" si="414"/>
        <v>-0.74012523146803488</v>
      </c>
      <c r="E923" s="307">
        <f t="shared" ca="1" si="415"/>
        <v>-3.0087763246774042</v>
      </c>
      <c r="F923" s="304">
        <f t="shared" ca="1" si="416"/>
        <v>3.0984706437523144</v>
      </c>
      <c r="G923" s="306">
        <f t="shared" ca="1" si="417"/>
        <v>13.423116067285404</v>
      </c>
      <c r="H923" s="307">
        <f t="shared" ca="1" si="418"/>
        <v>-123.34985617933168</v>
      </c>
      <c r="I923" s="304">
        <f t="shared" ca="1" si="419"/>
        <v>124.07806842636464</v>
      </c>
      <c r="J923" s="306">
        <f t="shared" ca="1" si="420"/>
        <v>764.67878961306644</v>
      </c>
      <c r="K923" s="307">
        <f t="shared" ca="1" si="421"/>
        <v>-8.7352089984854739</v>
      </c>
      <c r="L923" s="304">
        <f t="shared" ca="1" si="406"/>
        <v>764.72868074916062</v>
      </c>
      <c r="M923" s="306">
        <f t="shared" ca="1" si="422"/>
        <v>-1.4624013617478897</v>
      </c>
      <c r="N923" s="304">
        <f t="shared" ca="1" si="423"/>
        <v>-83.789425982338429</v>
      </c>
      <c r="P923" s="310">
        <f t="shared" ca="1" si="424"/>
        <v>23</v>
      </c>
      <c r="Q923" s="304">
        <f t="shared" ca="1" si="425"/>
        <v>0</v>
      </c>
      <c r="R923" s="306">
        <f t="shared" ca="1" si="426"/>
        <v>0</v>
      </c>
      <c r="S923" s="307">
        <f t="shared" ca="1" si="427"/>
        <v>8.5499999999999989</v>
      </c>
      <c r="T923" s="304">
        <f t="shared" ca="1" si="407"/>
        <v>83.875499999999988</v>
      </c>
      <c r="U923" s="311">
        <f t="shared" ca="1" si="408"/>
        <v>0</v>
      </c>
      <c r="V923" s="306">
        <f t="shared" ca="1" si="409"/>
        <v>1.2260705306677706</v>
      </c>
      <c r="W923" s="304">
        <f t="shared" ca="1" si="410"/>
        <v>58.494113463947052</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2.9110481166216973</v>
      </c>
      <c r="AH923" s="304">
        <f t="shared" ca="1" si="434"/>
        <v>-6.8413762387420425</v>
      </c>
    </row>
    <row r="924" spans="1:34" x14ac:dyDescent="0.3">
      <c r="A924" s="347">
        <f t="shared" ca="1" si="412"/>
        <v>1E-4</v>
      </c>
      <c r="B924" s="304">
        <f t="shared" ca="1" si="413"/>
        <v>33.140900000001558</v>
      </c>
      <c r="D924" s="306">
        <f t="shared" ca="1" si="414"/>
        <v>-0.74012379995406241</v>
      </c>
      <c r="E924" s="307">
        <f t="shared" ca="1" si="415"/>
        <v>-3.0087353888912149</v>
      </c>
      <c r="F924" s="304">
        <f t="shared" ca="1" si="416"/>
        <v>3.0984305510410932</v>
      </c>
      <c r="G924" s="306">
        <f t="shared" ca="1" si="417"/>
        <v>13.423042054905409</v>
      </c>
      <c r="H924" s="307">
        <f t="shared" ca="1" si="418"/>
        <v>-123.35015705287057</v>
      </c>
      <c r="I924" s="304">
        <f t="shared" ca="1" si="419"/>
        <v>124.0783595272584</v>
      </c>
      <c r="J924" s="306">
        <f t="shared" ca="1" si="420"/>
        <v>764.67878961306644</v>
      </c>
      <c r="K924" s="307">
        <f t="shared" ca="1" si="421"/>
        <v>-8.7475439991470836</v>
      </c>
      <c r="L924" s="304">
        <f t="shared" ca="1" si="406"/>
        <v>764.72882174671656</v>
      </c>
      <c r="M924" s="306">
        <f t="shared" ca="1" si="422"/>
        <v>-1.4624022170731259</v>
      </c>
      <c r="N924" s="304">
        <f t="shared" ca="1" si="423"/>
        <v>-83.789474988864569</v>
      </c>
      <c r="P924" s="310">
        <f t="shared" ca="1" si="424"/>
        <v>23</v>
      </c>
      <c r="Q924" s="304">
        <f t="shared" ca="1" si="425"/>
        <v>0</v>
      </c>
      <c r="R924" s="306">
        <f t="shared" ca="1" si="426"/>
        <v>0</v>
      </c>
      <c r="S924" s="307">
        <f t="shared" ca="1" si="427"/>
        <v>8.5499999999999989</v>
      </c>
      <c r="T924" s="304">
        <f t="shared" ca="1" si="407"/>
        <v>83.875499999999988</v>
      </c>
      <c r="U924" s="311">
        <f t="shared" ca="1" si="408"/>
        <v>0</v>
      </c>
      <c r="V924" s="306">
        <f t="shared" ca="1" si="409"/>
        <v>1.2260720430270728</v>
      </c>
      <c r="W924" s="304">
        <f t="shared" ca="1" si="410"/>
        <v>58.494460084498883</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2.9110084837015826</v>
      </c>
      <c r="AH924" s="304">
        <f t="shared" ca="1" si="434"/>
        <v>-6.8414167794090126</v>
      </c>
    </row>
    <row r="925" spans="1:34" x14ac:dyDescent="0.3">
      <c r="A925" s="347">
        <f t="shared" ca="1" si="412"/>
        <v>1E-4</v>
      </c>
      <c r="B925" s="304">
        <f t="shared" ca="1" si="413"/>
        <v>33.141000000001561</v>
      </c>
      <c r="D925" s="306">
        <f t="shared" ca="1" si="414"/>
        <v>-0.74012236840276091</v>
      </c>
      <c r="E925" s="307">
        <f t="shared" ca="1" si="415"/>
        <v>-3.0086944533590332</v>
      </c>
      <c r="F925" s="304">
        <f t="shared" ca="1" si="416"/>
        <v>3.0983904585903188</v>
      </c>
      <c r="G925" s="306">
        <f t="shared" ca="1" si="417"/>
        <v>13.422968042668568</v>
      </c>
      <c r="H925" s="307">
        <f t="shared" ca="1" si="418"/>
        <v>-123.35045792231591</v>
      </c>
      <c r="I925" s="304">
        <f t="shared" ca="1" si="419"/>
        <v>124.0786506241889</v>
      </c>
      <c r="J925" s="306">
        <f t="shared" ca="1" si="420"/>
        <v>764.67878961306644</v>
      </c>
      <c r="K925" s="307">
        <f t="shared" ca="1" si="421"/>
        <v>-8.7598790298958438</v>
      </c>
      <c r="L925" s="304">
        <f t="shared" ca="1" si="406"/>
        <v>764.72896294355348</v>
      </c>
      <c r="M925" s="306">
        <f t="shared" ca="1" si="422"/>
        <v>-1.4624030723896324</v>
      </c>
      <c r="N925" s="304">
        <f t="shared" ca="1" si="423"/>
        <v>-83.789523994890544</v>
      </c>
      <c r="P925" s="310">
        <f t="shared" ca="1" si="424"/>
        <v>23</v>
      </c>
      <c r="Q925" s="304">
        <f t="shared" ca="1" si="425"/>
        <v>0</v>
      </c>
      <c r="R925" s="306">
        <f t="shared" ca="1" si="426"/>
        <v>0</v>
      </c>
      <c r="S925" s="307">
        <f t="shared" ca="1" si="427"/>
        <v>8.5499999999999989</v>
      </c>
      <c r="T925" s="304">
        <f t="shared" ca="1" si="407"/>
        <v>83.875499999999988</v>
      </c>
      <c r="U925" s="311">
        <f t="shared" ca="1" si="408"/>
        <v>0</v>
      </c>
      <c r="V925" s="306">
        <f t="shared" ca="1" si="409"/>
        <v>1.2260735553919304</v>
      </c>
      <c r="W925" s="304">
        <f t="shared" ca="1" si="410"/>
        <v>58.494806702899957</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2.9109688510166229</v>
      </c>
      <c r="AH925" s="304">
        <f t="shared" ca="1" si="434"/>
        <v>-6.8414573198244319</v>
      </c>
    </row>
    <row r="926" spans="1:34" x14ac:dyDescent="0.3">
      <c r="A926" s="347">
        <f t="shared" ca="1" si="412"/>
        <v>1E-4</v>
      </c>
      <c r="B926" s="304">
        <f t="shared" ca="1" si="413"/>
        <v>33.141100000001565</v>
      </c>
      <c r="D926" s="306">
        <f t="shared" ca="1" si="414"/>
        <v>-0.74012093681413493</v>
      </c>
      <c r="E926" s="307">
        <f t="shared" ca="1" si="415"/>
        <v>-3.0086535180808616</v>
      </c>
      <c r="F926" s="304">
        <f t="shared" ca="1" si="416"/>
        <v>3.0983503663999943</v>
      </c>
      <c r="G926" s="306">
        <f t="shared" ca="1" si="417"/>
        <v>13.422894030574886</v>
      </c>
      <c r="H926" s="307">
        <f t="shared" ca="1" si="418"/>
        <v>-123.35075878766771</v>
      </c>
      <c r="I926" s="304">
        <f t="shared" ca="1" si="419"/>
        <v>124.07894171715613</v>
      </c>
      <c r="J926" s="306">
        <f t="shared" ca="1" si="420"/>
        <v>764.67878961306644</v>
      </c>
      <c r="K926" s="307">
        <f t="shared" ca="1" si="421"/>
        <v>-8.7722140907313424</v>
      </c>
      <c r="L926" s="304">
        <f t="shared" ca="1" si="406"/>
        <v>764.72910433967263</v>
      </c>
      <c r="M926" s="306">
        <f t="shared" ca="1" si="422"/>
        <v>-1.4624039276974099</v>
      </c>
      <c r="N926" s="304">
        <f t="shared" ca="1" si="423"/>
        <v>-83.789573000416382</v>
      </c>
      <c r="P926" s="310">
        <f t="shared" ca="1" si="424"/>
        <v>23</v>
      </c>
      <c r="Q926" s="304">
        <f t="shared" ca="1" si="425"/>
        <v>0</v>
      </c>
      <c r="R926" s="306">
        <f t="shared" ca="1" si="426"/>
        <v>0</v>
      </c>
      <c r="S926" s="307">
        <f t="shared" ca="1" si="427"/>
        <v>8.5499999999999989</v>
      </c>
      <c r="T926" s="304">
        <f t="shared" ca="1" si="407"/>
        <v>83.875499999999988</v>
      </c>
      <c r="U926" s="311">
        <f t="shared" ca="1" si="408"/>
        <v>0</v>
      </c>
      <c r="V926" s="306">
        <f t="shared" ca="1" si="409"/>
        <v>1.2260750677623435</v>
      </c>
      <c r="W926" s="304">
        <f t="shared" ca="1" si="410"/>
        <v>58.495153319150269</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2.9109292185668121</v>
      </c>
      <c r="AH926" s="304">
        <f t="shared" ca="1" si="434"/>
        <v>-6.8414978599882996</v>
      </c>
    </row>
    <row r="927" spans="1:34" x14ac:dyDescent="0.3">
      <c r="A927" s="347">
        <f t="shared" ca="1" si="412"/>
        <v>1E-4</v>
      </c>
      <c r="B927" s="304">
        <f t="shared" ca="1" si="413"/>
        <v>33.141200000001568</v>
      </c>
      <c r="D927" s="306">
        <f t="shared" ca="1" si="414"/>
        <v>-0.74011950518818181</v>
      </c>
      <c r="E927" s="307">
        <f t="shared" ca="1" si="415"/>
        <v>-3.0086125830566974</v>
      </c>
      <c r="F927" s="304">
        <f t="shared" ca="1" si="416"/>
        <v>3.098310274470117</v>
      </c>
      <c r="G927" s="306">
        <f t="shared" ca="1" si="417"/>
        <v>13.422820018624368</v>
      </c>
      <c r="H927" s="307">
        <f t="shared" ca="1" si="418"/>
        <v>-123.35105964892603</v>
      </c>
      <c r="I927" s="304">
        <f t="shared" ca="1" si="419"/>
        <v>124.07923280616015</v>
      </c>
      <c r="J927" s="306">
        <f t="shared" ca="1" si="420"/>
        <v>764.67878961306644</v>
      </c>
      <c r="K927" s="307">
        <f t="shared" ca="1" si="421"/>
        <v>-8.7845491816531727</v>
      </c>
      <c r="L927" s="304">
        <f t="shared" ca="1" si="406"/>
        <v>764.72924593507548</v>
      </c>
      <c r="M927" s="306">
        <f t="shared" ca="1" si="422"/>
        <v>-1.4624047829964582</v>
      </c>
      <c r="N927" s="304">
        <f t="shared" ca="1" si="423"/>
        <v>-83.78962200544207</v>
      </c>
      <c r="P927" s="310">
        <f t="shared" ca="1" si="424"/>
        <v>23</v>
      </c>
      <c r="Q927" s="304">
        <f t="shared" ca="1" si="425"/>
        <v>0</v>
      </c>
      <c r="R927" s="306">
        <f t="shared" ca="1" si="426"/>
        <v>0</v>
      </c>
      <c r="S927" s="307">
        <f t="shared" ca="1" si="427"/>
        <v>8.5499999999999989</v>
      </c>
      <c r="T927" s="304">
        <f t="shared" ca="1" si="407"/>
        <v>83.875499999999988</v>
      </c>
      <c r="U927" s="311">
        <f t="shared" ca="1" si="408"/>
        <v>0</v>
      </c>
      <c r="V927" s="306">
        <f t="shared" ca="1" si="409"/>
        <v>1.2260765801383111</v>
      </c>
      <c r="W927" s="304">
        <f t="shared" ca="1" si="410"/>
        <v>58.495499933249782</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2.9108895863521571</v>
      </c>
      <c r="AH927" s="304">
        <f t="shared" ca="1" si="434"/>
        <v>-6.8415383999006174</v>
      </c>
    </row>
    <row r="928" spans="1:34" x14ac:dyDescent="0.3">
      <c r="A928" s="347">
        <f t="shared" ca="1" si="412"/>
        <v>1E-4</v>
      </c>
      <c r="B928" s="304">
        <f t="shared" ca="1" si="413"/>
        <v>33.141300000001571</v>
      </c>
      <c r="D928" s="306">
        <f t="shared" ca="1" si="414"/>
        <v>-0.74011807352490422</v>
      </c>
      <c r="E928" s="307">
        <f t="shared" ca="1" si="415"/>
        <v>-3.008571648286547</v>
      </c>
      <c r="F928" s="304">
        <f t="shared" ca="1" si="416"/>
        <v>3.098270182800694</v>
      </c>
      <c r="G928" s="306">
        <f t="shared" ca="1" si="417"/>
        <v>13.422746006817015</v>
      </c>
      <c r="H928" s="307">
        <f t="shared" ca="1" si="418"/>
        <v>-123.35136050609086</v>
      </c>
      <c r="I928" s="304">
        <f t="shared" ca="1" si="419"/>
        <v>124.07952389120098</v>
      </c>
      <c r="J928" s="306">
        <f t="shared" ca="1" si="420"/>
        <v>764.67878961306644</v>
      </c>
      <c r="K928" s="307">
        <f t="shared" ca="1" si="421"/>
        <v>-8.7968843026609242</v>
      </c>
      <c r="L928" s="304">
        <f t="shared" ca="1" si="406"/>
        <v>764.72938772976329</v>
      </c>
      <c r="M928" s="306">
        <f t="shared" ca="1" si="422"/>
        <v>-1.4624056382867774</v>
      </c>
      <c r="N928" s="304">
        <f t="shared" ca="1" si="423"/>
        <v>-83.78967100996762</v>
      </c>
      <c r="P928" s="310">
        <f t="shared" ca="1" si="424"/>
        <v>23</v>
      </c>
      <c r="Q928" s="304">
        <f t="shared" ca="1" si="425"/>
        <v>0</v>
      </c>
      <c r="R928" s="306">
        <f t="shared" ca="1" si="426"/>
        <v>0</v>
      </c>
      <c r="S928" s="307">
        <f t="shared" ca="1" si="427"/>
        <v>8.5499999999999989</v>
      </c>
      <c r="T928" s="304">
        <f t="shared" ca="1" si="407"/>
        <v>83.875499999999988</v>
      </c>
      <c r="U928" s="311">
        <f t="shared" ca="1" si="408"/>
        <v>0</v>
      </c>
      <c r="V928" s="306">
        <f t="shared" ca="1" si="409"/>
        <v>1.2260780925198342</v>
      </c>
      <c r="W928" s="304">
        <f t="shared" ca="1" si="410"/>
        <v>58.495846545198525</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2.9108499543726571</v>
      </c>
      <c r="AH928" s="304">
        <f t="shared" ca="1" si="434"/>
        <v>-6.8415789395613791</v>
      </c>
    </row>
    <row r="929" spans="1:34" x14ac:dyDescent="0.3">
      <c r="A929" s="347">
        <f t="shared" ca="1" si="412"/>
        <v>1E-4</v>
      </c>
      <c r="B929" s="304">
        <f t="shared" ca="1" si="413"/>
        <v>33.141400000001575</v>
      </c>
      <c r="D929" s="306">
        <f t="shared" ca="1" si="414"/>
        <v>-0.74011664182430259</v>
      </c>
      <c r="E929" s="307">
        <f t="shared" ca="1" si="415"/>
        <v>-3.0085307137704067</v>
      </c>
      <c r="F929" s="304">
        <f t="shared" ca="1" si="416"/>
        <v>3.0982300913917218</v>
      </c>
      <c r="G929" s="306">
        <f t="shared" ca="1" si="417"/>
        <v>13.422671995152832</v>
      </c>
      <c r="H929" s="307">
        <f t="shared" ca="1" si="418"/>
        <v>-123.35166135916224</v>
      </c>
      <c r="I929" s="304">
        <f t="shared" ca="1" si="419"/>
        <v>124.07981497227863</v>
      </c>
      <c r="J929" s="306">
        <f t="shared" ca="1" si="420"/>
        <v>764.67878961306644</v>
      </c>
      <c r="K929" s="307">
        <f t="shared" ca="1" si="421"/>
        <v>-8.8092194537541868</v>
      </c>
      <c r="L929" s="304">
        <f t="shared" ca="1" si="406"/>
        <v>764.72952972373753</v>
      </c>
      <c r="M929" s="306">
        <f t="shared" ca="1" si="422"/>
        <v>-1.4624064935683678</v>
      </c>
      <c r="N929" s="304">
        <f t="shared" ca="1" si="423"/>
        <v>-83.789720013993048</v>
      </c>
      <c r="P929" s="310">
        <f t="shared" ca="1" si="424"/>
        <v>23</v>
      </c>
      <c r="Q929" s="304">
        <f t="shared" ca="1" si="425"/>
        <v>0</v>
      </c>
      <c r="R929" s="306">
        <f t="shared" ca="1" si="426"/>
        <v>0</v>
      </c>
      <c r="S929" s="307">
        <f t="shared" ca="1" si="427"/>
        <v>8.5499999999999989</v>
      </c>
      <c r="T929" s="304">
        <f t="shared" ca="1" si="407"/>
        <v>83.875499999999988</v>
      </c>
      <c r="U929" s="311">
        <f t="shared" ca="1" si="408"/>
        <v>0</v>
      </c>
      <c r="V929" s="306">
        <f t="shared" ca="1" si="409"/>
        <v>1.2260796049069123</v>
      </c>
      <c r="W929" s="304">
        <f t="shared" ca="1" si="410"/>
        <v>58.49619315499644</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2.910810322628314</v>
      </c>
      <c r="AH929" s="304">
        <f t="shared" ca="1" si="434"/>
        <v>-6.8416194789705882</v>
      </c>
    </row>
    <row r="930" spans="1:34" x14ac:dyDescent="0.3">
      <c r="A930" s="347">
        <f t="shared" ca="1" si="412"/>
        <v>1E-4</v>
      </c>
      <c r="B930" s="304">
        <f t="shared" ca="1" si="413"/>
        <v>33.141500000001578</v>
      </c>
      <c r="D930" s="306">
        <f t="shared" ca="1" si="414"/>
        <v>-0.7401152100863766</v>
      </c>
      <c r="E930" s="307">
        <f t="shared" ca="1" si="415"/>
        <v>-3.0084897795082828</v>
      </c>
      <c r="F930" s="304">
        <f t="shared" ca="1" si="416"/>
        <v>3.0981900002432061</v>
      </c>
      <c r="G930" s="306">
        <f t="shared" ca="1" si="417"/>
        <v>13.422597983631825</v>
      </c>
      <c r="H930" s="307">
        <f t="shared" ca="1" si="418"/>
        <v>-123.35196220814019</v>
      </c>
      <c r="I930" s="304">
        <f t="shared" ca="1" si="419"/>
        <v>124.08010604939312</v>
      </c>
      <c r="J930" s="306">
        <f t="shared" ca="1" si="420"/>
        <v>764.67878961306644</v>
      </c>
      <c r="K930" s="307">
        <f t="shared" ca="1" si="421"/>
        <v>-8.8215546349325518</v>
      </c>
      <c r="L930" s="304">
        <f t="shared" ca="1" si="406"/>
        <v>764.72967191699934</v>
      </c>
      <c r="M930" s="306">
        <f t="shared" ca="1" si="422"/>
        <v>-1.4624073488412295</v>
      </c>
      <c r="N930" s="304">
        <f t="shared" ca="1" si="423"/>
        <v>-83.789769017518353</v>
      </c>
      <c r="P930" s="310">
        <f t="shared" ca="1" si="424"/>
        <v>23</v>
      </c>
      <c r="Q930" s="304">
        <f t="shared" ca="1" si="425"/>
        <v>0</v>
      </c>
      <c r="R930" s="306">
        <f t="shared" ca="1" si="426"/>
        <v>0</v>
      </c>
      <c r="S930" s="307">
        <f t="shared" ca="1" si="427"/>
        <v>8.5499999999999989</v>
      </c>
      <c r="T930" s="304">
        <f t="shared" ca="1" si="407"/>
        <v>83.875499999999988</v>
      </c>
      <c r="U930" s="311">
        <f t="shared" ca="1" si="408"/>
        <v>0</v>
      </c>
      <c r="V930" s="306">
        <f t="shared" ca="1" si="409"/>
        <v>1.2260811172995454</v>
      </c>
      <c r="W930" s="304">
        <f t="shared" ca="1" si="410"/>
        <v>58.496539762643536</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2.9107706911191293</v>
      </c>
      <c r="AH930" s="304">
        <f t="shared" ca="1" si="434"/>
        <v>-6.8416600181282394</v>
      </c>
    </row>
    <row r="931" spans="1:34" x14ac:dyDescent="0.3">
      <c r="A931" s="347">
        <f t="shared" ca="1" si="412"/>
        <v>1E-4</v>
      </c>
      <c r="B931" s="304">
        <f t="shared" ca="1" si="413"/>
        <v>33.141600000001581</v>
      </c>
      <c r="D931" s="306">
        <f t="shared" ca="1" si="414"/>
        <v>-0.7401137783111279</v>
      </c>
      <c r="E931" s="307">
        <f t="shared" ca="1" si="415"/>
        <v>-3.0084488455001734</v>
      </c>
      <c r="F931" s="304">
        <f t="shared" ca="1" si="416"/>
        <v>3.0981499093551461</v>
      </c>
      <c r="G931" s="306">
        <f t="shared" ca="1" si="417"/>
        <v>13.422523972253993</v>
      </c>
      <c r="H931" s="307">
        <f t="shared" ca="1" si="418"/>
        <v>-123.35226305302474</v>
      </c>
      <c r="I931" s="304">
        <f t="shared" ca="1" si="419"/>
        <v>124.08039712254448</v>
      </c>
      <c r="J931" s="306">
        <f t="shared" ca="1" si="420"/>
        <v>764.67878961306644</v>
      </c>
      <c r="K931" s="307">
        <f t="shared" ca="1" si="421"/>
        <v>-8.8338898461956106</v>
      </c>
      <c r="L931" s="304">
        <f t="shared" ca="1" si="406"/>
        <v>764.72981430955008</v>
      </c>
      <c r="M931" s="306">
        <f t="shared" ca="1" si="422"/>
        <v>-1.4624082041053625</v>
      </c>
      <c r="N931" s="304">
        <f t="shared" ca="1" si="423"/>
        <v>-83.789818020543549</v>
      </c>
      <c r="P931" s="310">
        <f t="shared" ca="1" si="424"/>
        <v>23</v>
      </c>
      <c r="Q931" s="304">
        <f t="shared" ca="1" si="425"/>
        <v>0</v>
      </c>
      <c r="R931" s="306">
        <f t="shared" ca="1" si="426"/>
        <v>0</v>
      </c>
      <c r="S931" s="307">
        <f t="shared" ca="1" si="427"/>
        <v>8.5499999999999989</v>
      </c>
      <c r="T931" s="304">
        <f t="shared" ca="1" si="407"/>
        <v>83.875499999999988</v>
      </c>
      <c r="U931" s="311">
        <f t="shared" ca="1" si="408"/>
        <v>0</v>
      </c>
      <c r="V931" s="306">
        <f t="shared" ca="1" si="409"/>
        <v>1.2260826296977336</v>
      </c>
      <c r="W931" s="304">
        <f t="shared" ca="1" si="410"/>
        <v>58.496886368139798</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2.9107310598451068</v>
      </c>
      <c r="AH931" s="304">
        <f t="shared" ca="1" si="434"/>
        <v>-6.8417005570343328</v>
      </c>
    </row>
    <row r="932" spans="1:34" x14ac:dyDescent="0.3">
      <c r="A932" s="347">
        <f t="shared" ca="1" si="412"/>
        <v>1E-4</v>
      </c>
      <c r="B932" s="304">
        <f t="shared" ca="1" si="413"/>
        <v>33.141700000001585</v>
      </c>
      <c r="D932" s="306">
        <f t="shared" ca="1" si="414"/>
        <v>-0.74011234649855673</v>
      </c>
      <c r="E932" s="307">
        <f t="shared" ca="1" si="415"/>
        <v>-3.0084079117460822</v>
      </c>
      <c r="F932" s="304">
        <f t="shared" ca="1" si="416"/>
        <v>3.0981098187275453</v>
      </c>
      <c r="G932" s="306">
        <f t="shared" ca="1" si="417"/>
        <v>13.422449961019343</v>
      </c>
      <c r="H932" s="307">
        <f t="shared" ca="1" si="418"/>
        <v>-123.35256389381591</v>
      </c>
      <c r="I932" s="304">
        <f t="shared" ca="1" si="419"/>
        <v>124.08068819173275</v>
      </c>
      <c r="J932" s="306">
        <f t="shared" ca="1" si="420"/>
        <v>764.67878961306644</v>
      </c>
      <c r="K932" s="307">
        <f t="shared" ca="1" si="421"/>
        <v>-8.8462250875429529</v>
      </c>
      <c r="L932" s="304">
        <f t="shared" ca="1" si="406"/>
        <v>764.72995690139135</v>
      </c>
      <c r="M932" s="306">
        <f t="shared" ca="1" si="422"/>
        <v>-1.4624090593607673</v>
      </c>
      <c r="N932" s="304">
        <f t="shared" ca="1" si="423"/>
        <v>-83.789867023068638</v>
      </c>
      <c r="P932" s="310">
        <f t="shared" ca="1" si="424"/>
        <v>23</v>
      </c>
      <c r="Q932" s="304">
        <f t="shared" ca="1" si="425"/>
        <v>0</v>
      </c>
      <c r="R932" s="306">
        <f t="shared" ca="1" si="426"/>
        <v>0</v>
      </c>
      <c r="S932" s="307">
        <f t="shared" ca="1" si="427"/>
        <v>8.5499999999999989</v>
      </c>
      <c r="T932" s="304">
        <f t="shared" ca="1" si="407"/>
        <v>83.875499999999988</v>
      </c>
      <c r="U932" s="311">
        <f t="shared" ca="1" si="408"/>
        <v>0</v>
      </c>
      <c r="V932" s="306">
        <f t="shared" ca="1" si="409"/>
        <v>1.2260841421014768</v>
      </c>
      <c r="W932" s="304">
        <f t="shared" ca="1" si="410"/>
        <v>58.497232971485211</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2.9106914288062464</v>
      </c>
      <c r="AH932" s="304">
        <f t="shared" ca="1" si="434"/>
        <v>-6.8417410956888665</v>
      </c>
    </row>
    <row r="933" spans="1:34" x14ac:dyDescent="0.3">
      <c r="A933" s="347">
        <f t="shared" ca="1" si="412"/>
        <v>1E-4</v>
      </c>
      <c r="B933" s="304">
        <f t="shared" ca="1" si="413"/>
        <v>33.141800000001588</v>
      </c>
      <c r="D933" s="306">
        <f t="shared" ca="1" si="414"/>
        <v>-0.74011091464866285</v>
      </c>
      <c r="E933" s="307">
        <f t="shared" ca="1" si="415"/>
        <v>-3.008366978246011</v>
      </c>
      <c r="F933" s="304">
        <f t="shared" ca="1" si="416"/>
        <v>3.0980697283604055</v>
      </c>
      <c r="G933" s="306">
        <f t="shared" ca="1" si="417"/>
        <v>13.422375949927877</v>
      </c>
      <c r="H933" s="307">
        <f t="shared" ca="1" si="418"/>
        <v>-123.35286473051373</v>
      </c>
      <c r="I933" s="304">
        <f t="shared" ca="1" si="419"/>
        <v>124.08097925695792</v>
      </c>
      <c r="J933" s="306">
        <f t="shared" ca="1" si="420"/>
        <v>764.67878961306644</v>
      </c>
      <c r="K933" s="307">
        <f t="shared" ca="1" si="421"/>
        <v>-8.8585603589741702</v>
      </c>
      <c r="L933" s="304">
        <f t="shared" ca="1" si="406"/>
        <v>764.73009969252416</v>
      </c>
      <c r="M933" s="306">
        <f t="shared" ca="1" si="422"/>
        <v>-1.4624099146074436</v>
      </c>
      <c r="N933" s="304">
        <f t="shared" ca="1" si="423"/>
        <v>-83.789916025093632</v>
      </c>
      <c r="P933" s="310">
        <f t="shared" ca="1" si="424"/>
        <v>23</v>
      </c>
      <c r="Q933" s="304">
        <f t="shared" ca="1" si="425"/>
        <v>0</v>
      </c>
      <c r="R933" s="306">
        <f t="shared" ca="1" si="426"/>
        <v>0</v>
      </c>
      <c r="S933" s="307">
        <f t="shared" ca="1" si="427"/>
        <v>8.5499999999999989</v>
      </c>
      <c r="T933" s="304">
        <f t="shared" ca="1" si="407"/>
        <v>83.875499999999988</v>
      </c>
      <c r="U933" s="311">
        <f t="shared" ca="1" si="408"/>
        <v>0</v>
      </c>
      <c r="V933" s="306">
        <f t="shared" ca="1" si="409"/>
        <v>1.226085654510775</v>
      </c>
      <c r="W933" s="304">
        <f t="shared" ca="1" si="410"/>
        <v>58.497579572679754</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2.9106517980025499</v>
      </c>
      <c r="AH933" s="304">
        <f t="shared" ca="1" si="434"/>
        <v>-6.8417816340918387</v>
      </c>
    </row>
    <row r="934" spans="1:34" x14ac:dyDescent="0.3">
      <c r="A934" s="347">
        <f t="shared" ca="1" si="412"/>
        <v>1E-4</v>
      </c>
      <c r="B934" s="304">
        <f t="shared" ca="1" si="413"/>
        <v>33.141900000001591</v>
      </c>
      <c r="D934" s="306">
        <f t="shared" ca="1" si="414"/>
        <v>-0.74010948276144772</v>
      </c>
      <c r="E934" s="307">
        <f t="shared" ca="1" si="415"/>
        <v>-3.0083260449999605</v>
      </c>
      <c r="F934" s="304">
        <f t="shared" ca="1" si="416"/>
        <v>3.0980296382537276</v>
      </c>
      <c r="G934" s="306">
        <f t="shared" ca="1" si="417"/>
        <v>13.422301938979601</v>
      </c>
      <c r="H934" s="307">
        <f t="shared" ca="1" si="418"/>
        <v>-123.35316556311822</v>
      </c>
      <c r="I934" s="304">
        <f t="shared" ca="1" si="419"/>
        <v>124.08127031822004</v>
      </c>
      <c r="J934" s="306">
        <f t="shared" ca="1" si="420"/>
        <v>764.67878961306644</v>
      </c>
      <c r="K934" s="307">
        <f t="shared" ca="1" si="421"/>
        <v>-8.870895660488852</v>
      </c>
      <c r="L934" s="304">
        <f t="shared" ca="1" si="406"/>
        <v>764.73024268295001</v>
      </c>
      <c r="M934" s="306">
        <f t="shared" ca="1" si="422"/>
        <v>-1.4624107698453919</v>
      </c>
      <c r="N934" s="304">
        <f t="shared" ca="1" si="423"/>
        <v>-83.789965026618546</v>
      </c>
      <c r="P934" s="310">
        <f t="shared" ca="1" si="424"/>
        <v>23</v>
      </c>
      <c r="Q934" s="304">
        <f t="shared" ca="1" si="425"/>
        <v>0</v>
      </c>
      <c r="R934" s="306">
        <f t="shared" ca="1" si="426"/>
        <v>0</v>
      </c>
      <c r="S934" s="307">
        <f t="shared" ca="1" si="427"/>
        <v>8.5499999999999989</v>
      </c>
      <c r="T934" s="304">
        <f t="shared" ca="1" si="407"/>
        <v>83.875499999999988</v>
      </c>
      <c r="U934" s="311">
        <f t="shared" ca="1" si="408"/>
        <v>0</v>
      </c>
      <c r="V934" s="306">
        <f t="shared" ca="1" si="409"/>
        <v>1.2260871669256281</v>
      </c>
      <c r="W934" s="304">
        <f t="shared" ca="1" si="410"/>
        <v>58.497926171723421</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2.9106121674340253</v>
      </c>
      <c r="AH934" s="304">
        <f t="shared" ca="1" si="434"/>
        <v>-6.8418221722432468</v>
      </c>
    </row>
    <row r="935" spans="1:34" x14ac:dyDescent="0.3">
      <c r="A935" s="347">
        <f t="shared" ca="1" si="412"/>
        <v>1E-4</v>
      </c>
      <c r="B935" s="304">
        <f t="shared" ca="1" si="413"/>
        <v>33.142000000001595</v>
      </c>
      <c r="D935" s="306">
        <f t="shared" ca="1" si="414"/>
        <v>-0.74010805083691167</v>
      </c>
      <c r="E935" s="307">
        <f t="shared" ca="1" si="415"/>
        <v>-3.0082851120079326</v>
      </c>
      <c r="F935" s="304">
        <f t="shared" ca="1" si="416"/>
        <v>3.0979895484075137</v>
      </c>
      <c r="G935" s="306">
        <f t="shared" ca="1" si="417"/>
        <v>13.422227928174516</v>
      </c>
      <c r="H935" s="307">
        <f t="shared" ca="1" si="418"/>
        <v>-123.35346639162942</v>
      </c>
      <c r="I935" s="304">
        <f t="shared" ca="1" si="419"/>
        <v>124.08156137551912</v>
      </c>
      <c r="J935" s="306">
        <f t="shared" ca="1" si="420"/>
        <v>764.67878961306644</v>
      </c>
      <c r="K935" s="307">
        <f t="shared" ca="1" si="421"/>
        <v>-8.8832309920865899</v>
      </c>
      <c r="L935" s="304">
        <f t="shared" ca="1" si="406"/>
        <v>764.73038587267024</v>
      </c>
      <c r="M935" s="306">
        <f t="shared" ca="1" si="422"/>
        <v>-1.462411625074612</v>
      </c>
      <c r="N935" s="304">
        <f t="shared" ca="1" si="423"/>
        <v>-83.79001402764338</v>
      </c>
      <c r="P935" s="310">
        <f t="shared" ca="1" si="424"/>
        <v>23</v>
      </c>
      <c r="Q935" s="304">
        <f t="shared" ca="1" si="425"/>
        <v>0</v>
      </c>
      <c r="R935" s="306">
        <f t="shared" ca="1" si="426"/>
        <v>0</v>
      </c>
      <c r="S935" s="307">
        <f t="shared" ca="1" si="427"/>
        <v>8.5499999999999989</v>
      </c>
      <c r="T935" s="304">
        <f t="shared" ca="1" si="407"/>
        <v>83.875499999999988</v>
      </c>
      <c r="U935" s="311">
        <f t="shared" ca="1" si="408"/>
        <v>0</v>
      </c>
      <c r="V935" s="306">
        <f t="shared" ca="1" si="409"/>
        <v>1.2260886793460362</v>
      </c>
      <c r="W935" s="304">
        <f t="shared" ca="1" si="410"/>
        <v>58.498272768616204</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2.9105725371006672</v>
      </c>
      <c r="AH935" s="304">
        <f t="shared" ca="1" si="434"/>
        <v>-6.8418627101430909</v>
      </c>
    </row>
    <row r="936" spans="1:34" x14ac:dyDescent="0.3">
      <c r="A936" s="347">
        <f t="shared" ca="1" si="412"/>
        <v>1E-4</v>
      </c>
      <c r="B936" s="304">
        <f t="shared" ca="1" si="413"/>
        <v>33.142100000001598</v>
      </c>
      <c r="D936" s="306">
        <f t="shared" ca="1" si="414"/>
        <v>-0.74010661887505613</v>
      </c>
      <c r="E936" s="307">
        <f t="shared" ca="1" si="415"/>
        <v>-3.0082441792699282</v>
      </c>
      <c r="F936" s="304">
        <f t="shared" ca="1" si="416"/>
        <v>3.0979494588217658</v>
      </c>
      <c r="G936" s="306">
        <f t="shared" ca="1" si="417"/>
        <v>13.422153917512629</v>
      </c>
      <c r="H936" s="307">
        <f t="shared" ca="1" si="418"/>
        <v>-123.35376721604734</v>
      </c>
      <c r="I936" s="304">
        <f t="shared" ca="1" si="419"/>
        <v>124.08185242885519</v>
      </c>
      <c r="J936" s="306">
        <f t="shared" ca="1" si="420"/>
        <v>764.67878961306644</v>
      </c>
      <c r="K936" s="307">
        <f t="shared" ca="1" si="421"/>
        <v>-8.8955663537669736</v>
      </c>
      <c r="L936" s="304">
        <f t="shared" ca="1" si="406"/>
        <v>764.73052926168612</v>
      </c>
      <c r="M936" s="306">
        <f t="shared" ca="1" si="422"/>
        <v>-1.4624124802951042</v>
      </c>
      <c r="N936" s="304">
        <f t="shared" ca="1" si="423"/>
        <v>-83.790063028168134</v>
      </c>
      <c r="P936" s="310">
        <f t="shared" ca="1" si="424"/>
        <v>23</v>
      </c>
      <c r="Q936" s="304">
        <f t="shared" ca="1" si="425"/>
        <v>0</v>
      </c>
      <c r="R936" s="306">
        <f t="shared" ca="1" si="426"/>
        <v>0</v>
      </c>
      <c r="S936" s="307">
        <f t="shared" ca="1" si="427"/>
        <v>8.5499999999999989</v>
      </c>
      <c r="T936" s="304">
        <f t="shared" ca="1" si="407"/>
        <v>83.875499999999988</v>
      </c>
      <c r="U936" s="311">
        <f t="shared" ca="1" si="408"/>
        <v>0</v>
      </c>
      <c r="V936" s="306">
        <f t="shared" ca="1" si="409"/>
        <v>1.2260901917719988</v>
      </c>
      <c r="W936" s="304">
        <f t="shared" ca="1" si="410"/>
        <v>58.498619363358074</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2.9105329070024784</v>
      </c>
      <c r="AH936" s="304">
        <f t="shared" ca="1" si="434"/>
        <v>-6.8419032477913699</v>
      </c>
    </row>
    <row r="937" spans="1:34" x14ac:dyDescent="0.3">
      <c r="A937" s="347">
        <f t="shared" ca="1" si="412"/>
        <v>1E-4</v>
      </c>
      <c r="B937" s="304">
        <f t="shared" ca="1" si="413"/>
        <v>33.142200000001601</v>
      </c>
      <c r="D937" s="306">
        <f t="shared" ca="1" si="414"/>
        <v>-0.740105186875881</v>
      </c>
      <c r="E937" s="307">
        <f t="shared" ca="1" si="415"/>
        <v>-3.0082032467859499</v>
      </c>
      <c r="F937" s="304">
        <f t="shared" ca="1" si="416"/>
        <v>3.0979093694964859</v>
      </c>
      <c r="G937" s="306">
        <f t="shared" ca="1" si="417"/>
        <v>13.422079906993941</v>
      </c>
      <c r="H937" s="307">
        <f t="shared" ca="1" si="418"/>
        <v>-123.35406803637203</v>
      </c>
      <c r="I937" s="304">
        <f t="shared" ca="1" si="419"/>
        <v>124.08214347822829</v>
      </c>
      <c r="J937" s="306">
        <f t="shared" ca="1" si="420"/>
        <v>764.67878961306644</v>
      </c>
      <c r="K937" s="307">
        <f t="shared" ca="1" si="421"/>
        <v>-8.9079017455295944</v>
      </c>
      <c r="L937" s="304">
        <f t="shared" ca="1" si="406"/>
        <v>764.73067284999911</v>
      </c>
      <c r="M937" s="306">
        <f t="shared" ca="1" si="422"/>
        <v>-1.4624133355068687</v>
      </c>
      <c r="N937" s="304">
        <f t="shared" ca="1" si="423"/>
        <v>-83.790112028192837</v>
      </c>
      <c r="P937" s="310">
        <f t="shared" ca="1" si="424"/>
        <v>23</v>
      </c>
      <c r="Q937" s="304">
        <f t="shared" ca="1" si="425"/>
        <v>0</v>
      </c>
      <c r="R937" s="306">
        <f t="shared" ca="1" si="426"/>
        <v>0</v>
      </c>
      <c r="S937" s="307">
        <f t="shared" ca="1" si="427"/>
        <v>8.5499999999999989</v>
      </c>
      <c r="T937" s="304">
        <f t="shared" ca="1" si="407"/>
        <v>83.875499999999988</v>
      </c>
      <c r="U937" s="311">
        <f t="shared" ca="1" si="408"/>
        <v>0</v>
      </c>
      <c r="V937" s="306">
        <f t="shared" ca="1" si="409"/>
        <v>1.2260917042035164</v>
      </c>
      <c r="W937" s="304">
        <f t="shared" ca="1" si="410"/>
        <v>58.498965955949053</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2.9104932771394649</v>
      </c>
      <c r="AH937" s="304">
        <f t="shared" ca="1" si="434"/>
        <v>-6.8419437851880796</v>
      </c>
    </row>
    <row r="938" spans="1:34" x14ac:dyDescent="0.3">
      <c r="A938" s="347">
        <f t="shared" ca="1" si="412"/>
        <v>1E-4</v>
      </c>
      <c r="B938" s="304">
        <f t="shared" ca="1" si="413"/>
        <v>33.142300000001605</v>
      </c>
      <c r="D938" s="306">
        <f t="shared" ca="1" si="414"/>
        <v>-0.74010375483938662</v>
      </c>
      <c r="E938" s="307">
        <f t="shared" ca="1" si="415"/>
        <v>-3.0081623145559959</v>
      </c>
      <c r="F938" s="304">
        <f t="shared" ca="1" si="416"/>
        <v>3.0978692804316719</v>
      </c>
      <c r="G938" s="306">
        <f t="shared" ca="1" si="417"/>
        <v>13.422005896618458</v>
      </c>
      <c r="H938" s="307">
        <f t="shared" ca="1" si="418"/>
        <v>-123.35436885260349</v>
      </c>
      <c r="I938" s="304">
        <f t="shared" ca="1" si="419"/>
        <v>124.08243452363841</v>
      </c>
      <c r="J938" s="306">
        <f t="shared" ca="1" si="420"/>
        <v>764.67878961306644</v>
      </c>
      <c r="K938" s="307">
        <f t="shared" ca="1" si="421"/>
        <v>-8.9202371673740437</v>
      </c>
      <c r="L938" s="304">
        <f t="shared" ca="1" si="406"/>
        <v>764.73081663761047</v>
      </c>
      <c r="M938" s="306">
        <f t="shared" ca="1" si="422"/>
        <v>-1.4624141907099055</v>
      </c>
      <c r="N938" s="304">
        <f t="shared" ca="1" si="423"/>
        <v>-83.790161027717474</v>
      </c>
      <c r="P938" s="310">
        <f t="shared" ca="1" si="424"/>
        <v>23</v>
      </c>
      <c r="Q938" s="304">
        <f t="shared" ca="1" si="425"/>
        <v>0</v>
      </c>
      <c r="R938" s="306">
        <f t="shared" ca="1" si="426"/>
        <v>0</v>
      </c>
      <c r="S938" s="307">
        <f t="shared" ca="1" si="427"/>
        <v>8.5499999999999989</v>
      </c>
      <c r="T938" s="304">
        <f t="shared" ca="1" si="407"/>
        <v>83.875499999999988</v>
      </c>
      <c r="U938" s="311">
        <f t="shared" ca="1" si="408"/>
        <v>0</v>
      </c>
      <c r="V938" s="306">
        <f t="shared" ca="1" si="409"/>
        <v>1.2260932166405889</v>
      </c>
      <c r="W938" s="304">
        <f t="shared" ca="1" si="410"/>
        <v>58.499312546389085</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2.9104536475116234</v>
      </c>
      <c r="AH938" s="304">
        <f t="shared" ca="1" si="434"/>
        <v>-6.8419843223332233</v>
      </c>
    </row>
    <row r="939" spans="1:34" x14ac:dyDescent="0.3">
      <c r="A939" s="347">
        <f t="shared" ca="1" si="412"/>
        <v>1E-4</v>
      </c>
      <c r="B939" s="304">
        <f t="shared" ca="1" si="413"/>
        <v>33.142400000001608</v>
      </c>
      <c r="D939" s="306">
        <f t="shared" ca="1" si="414"/>
        <v>-0.74010232276557431</v>
      </c>
      <c r="E939" s="307">
        <f t="shared" ca="1" si="415"/>
        <v>-3.0081213825800726</v>
      </c>
      <c r="F939" s="304">
        <f t="shared" ca="1" si="416"/>
        <v>3.0978291916273313</v>
      </c>
      <c r="G939" s="306">
        <f t="shared" ca="1" si="417"/>
        <v>13.421931886386181</v>
      </c>
      <c r="H939" s="307">
        <f t="shared" ca="1" si="418"/>
        <v>-123.35466966474175</v>
      </c>
      <c r="I939" s="304">
        <f t="shared" ca="1" si="419"/>
        <v>124.0827255650856</v>
      </c>
      <c r="J939" s="306">
        <f t="shared" ca="1" si="420"/>
        <v>764.67878961306644</v>
      </c>
      <c r="K939" s="307">
        <f t="shared" ca="1" si="421"/>
        <v>-8.9325726192999113</v>
      </c>
      <c r="L939" s="304">
        <f t="shared" ca="1" si="406"/>
        <v>764.73096062452146</v>
      </c>
      <c r="M939" s="306">
        <f t="shared" ca="1" si="422"/>
        <v>-1.4624150459042149</v>
      </c>
      <c r="N939" s="304">
        <f t="shared" ca="1" si="423"/>
        <v>-83.790210026742059</v>
      </c>
      <c r="P939" s="310">
        <f t="shared" ca="1" si="424"/>
        <v>23</v>
      </c>
      <c r="Q939" s="304">
        <f t="shared" ca="1" si="425"/>
        <v>0</v>
      </c>
      <c r="R939" s="306">
        <f t="shared" ca="1" si="426"/>
        <v>0</v>
      </c>
      <c r="S939" s="307">
        <f t="shared" ca="1" si="427"/>
        <v>8.5499999999999989</v>
      </c>
      <c r="T939" s="304">
        <f t="shared" ca="1" si="407"/>
        <v>83.875499999999988</v>
      </c>
      <c r="U939" s="311">
        <f t="shared" ca="1" si="408"/>
        <v>0</v>
      </c>
      <c r="V939" s="306">
        <f t="shared" ca="1" si="409"/>
        <v>1.226094729083216</v>
      </c>
      <c r="W939" s="304">
        <f t="shared" ca="1" si="410"/>
        <v>58.499659134678168</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2.9104140181189591</v>
      </c>
      <c r="AH939" s="304">
        <f t="shared" ca="1" si="434"/>
        <v>-6.842024859226794</v>
      </c>
    </row>
    <row r="940" spans="1:34" x14ac:dyDescent="0.3">
      <c r="A940" s="347">
        <f t="shared" ca="1" si="412"/>
        <v>1E-4</v>
      </c>
      <c r="B940" s="304">
        <f t="shared" ca="1" si="413"/>
        <v>33.142500000001611</v>
      </c>
      <c r="D940" s="306">
        <f t="shared" ca="1" si="414"/>
        <v>-0.74010089065444395</v>
      </c>
      <c r="E940" s="307">
        <f t="shared" ca="1" si="415"/>
        <v>-3.0080804508581798</v>
      </c>
      <c r="F940" s="304">
        <f t="shared" ca="1" si="416"/>
        <v>3.0977891030834641</v>
      </c>
      <c r="G940" s="306">
        <f t="shared" ca="1" si="417"/>
        <v>13.421857876297116</v>
      </c>
      <c r="H940" s="307">
        <f t="shared" ca="1" si="418"/>
        <v>-123.35497047278683</v>
      </c>
      <c r="I940" s="304">
        <f t="shared" ca="1" si="419"/>
        <v>124.08301660256987</v>
      </c>
      <c r="J940" s="306">
        <f t="shared" ca="1" si="420"/>
        <v>764.67878961306644</v>
      </c>
      <c r="K940" s="307">
        <f t="shared" ca="1" si="421"/>
        <v>-8.9449081013067886</v>
      </c>
      <c r="L940" s="304">
        <f t="shared" ca="1" si="406"/>
        <v>764.73110481073354</v>
      </c>
      <c r="M940" s="306">
        <f t="shared" ca="1" si="422"/>
        <v>-1.4624159010897968</v>
      </c>
      <c r="N940" s="304">
        <f t="shared" ca="1" si="423"/>
        <v>-83.790259025266607</v>
      </c>
      <c r="P940" s="310">
        <f t="shared" ca="1" si="424"/>
        <v>23</v>
      </c>
      <c r="Q940" s="304">
        <f t="shared" ca="1" si="425"/>
        <v>0</v>
      </c>
      <c r="R940" s="306">
        <f t="shared" ca="1" si="426"/>
        <v>0</v>
      </c>
      <c r="S940" s="307">
        <f t="shared" ca="1" si="427"/>
        <v>8.5499999999999989</v>
      </c>
      <c r="T940" s="304">
        <f t="shared" ca="1" si="407"/>
        <v>83.875499999999988</v>
      </c>
      <c r="U940" s="311">
        <f t="shared" ca="1" si="408"/>
        <v>0</v>
      </c>
      <c r="V940" s="306">
        <f t="shared" ca="1" si="409"/>
        <v>1.2260962415313981</v>
      </c>
      <c r="W940" s="304">
        <f t="shared" ca="1" si="410"/>
        <v>58.500005720816326</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2.9103743889614746</v>
      </c>
      <c r="AH940" s="304">
        <f t="shared" ca="1" si="434"/>
        <v>-6.8420653958687927</v>
      </c>
    </row>
    <row r="941" spans="1:34" x14ac:dyDescent="0.3">
      <c r="A941" s="347">
        <f t="shared" ca="1" si="412"/>
        <v>1E-4</v>
      </c>
      <c r="B941" s="304">
        <f t="shared" ca="1" si="413"/>
        <v>33.142600000001615</v>
      </c>
      <c r="D941" s="306">
        <f t="shared" ca="1" si="414"/>
        <v>-0.74009945850599757</v>
      </c>
      <c r="E941" s="307">
        <f t="shared" ca="1" si="415"/>
        <v>-3.0080395193903149</v>
      </c>
      <c r="F941" s="304">
        <f t="shared" ca="1" si="416"/>
        <v>3.0977490148000673</v>
      </c>
      <c r="G941" s="306">
        <f t="shared" ca="1" si="417"/>
        <v>13.421783866351266</v>
      </c>
      <c r="H941" s="307">
        <f t="shared" ca="1" si="418"/>
        <v>-123.35527127673878</v>
      </c>
      <c r="I941" s="304">
        <f t="shared" ca="1" si="419"/>
        <v>124.08330763609125</v>
      </c>
      <c r="J941" s="306">
        <f t="shared" ca="1" si="420"/>
        <v>764.67878961306644</v>
      </c>
      <c r="K941" s="307">
        <f t="shared" ca="1" si="421"/>
        <v>-8.9572436133942652</v>
      </c>
      <c r="L941" s="304">
        <f t="shared" ca="1" si="406"/>
        <v>764.73124919624797</v>
      </c>
      <c r="M941" s="306">
        <f t="shared" ca="1" si="422"/>
        <v>-1.4624167562666517</v>
      </c>
      <c r="N941" s="304">
        <f t="shared" ca="1" si="423"/>
        <v>-83.790308023291132</v>
      </c>
      <c r="P941" s="310">
        <f t="shared" ca="1" si="424"/>
        <v>23</v>
      </c>
      <c r="Q941" s="304">
        <f t="shared" ca="1" si="425"/>
        <v>0</v>
      </c>
      <c r="R941" s="306">
        <f t="shared" ca="1" si="426"/>
        <v>0</v>
      </c>
      <c r="S941" s="307">
        <f t="shared" ca="1" si="427"/>
        <v>8.5499999999999989</v>
      </c>
      <c r="T941" s="304">
        <f t="shared" ca="1" si="407"/>
        <v>83.875499999999988</v>
      </c>
      <c r="U941" s="311">
        <f t="shared" ca="1" si="408"/>
        <v>0</v>
      </c>
      <c r="V941" s="306">
        <f t="shared" ca="1" si="409"/>
        <v>1.2260977539851343</v>
      </c>
      <c r="W941" s="304">
        <f t="shared" ca="1" si="410"/>
        <v>58.500352304803464</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2.9103347600391674</v>
      </c>
      <c r="AH941" s="304">
        <f t="shared" ca="1" si="434"/>
        <v>-6.8421059322592201</v>
      </c>
    </row>
    <row r="942" spans="1:34" x14ac:dyDescent="0.3">
      <c r="A942" s="347">
        <f t="shared" ca="1" si="412"/>
        <v>1E-4</v>
      </c>
      <c r="B942" s="304">
        <f t="shared" ca="1" si="413"/>
        <v>33.142700000001618</v>
      </c>
      <c r="D942" s="306">
        <f t="shared" ca="1" si="414"/>
        <v>-0.7400980263202328</v>
      </c>
      <c r="E942" s="307">
        <f t="shared" ca="1" si="415"/>
        <v>-3.0079985881764895</v>
      </c>
      <c r="F942" s="304">
        <f t="shared" ca="1" si="416"/>
        <v>3.0977089267771523</v>
      </c>
      <c r="G942" s="306">
        <f t="shared" ca="1" si="417"/>
        <v>13.421709856548635</v>
      </c>
      <c r="H942" s="307">
        <f t="shared" ca="1" si="418"/>
        <v>-123.3555720765976</v>
      </c>
      <c r="I942" s="304">
        <f t="shared" ca="1" si="419"/>
        <v>124.08359866564976</v>
      </c>
      <c r="J942" s="306">
        <f t="shared" ca="1" si="420"/>
        <v>764.67878961306644</v>
      </c>
      <c r="K942" s="307">
        <f t="shared" ca="1" si="421"/>
        <v>-8.9695791555619326</v>
      </c>
      <c r="L942" s="304">
        <f t="shared" ca="1" si="406"/>
        <v>764.73139378106623</v>
      </c>
      <c r="M942" s="306">
        <f t="shared" ca="1" si="422"/>
        <v>-1.4624176114347793</v>
      </c>
      <c r="N942" s="304">
        <f t="shared" ca="1" si="423"/>
        <v>-83.79035702081562</v>
      </c>
      <c r="P942" s="310">
        <f t="shared" ca="1" si="424"/>
        <v>23</v>
      </c>
      <c r="Q942" s="304">
        <f t="shared" ca="1" si="425"/>
        <v>0</v>
      </c>
      <c r="R942" s="306">
        <f t="shared" ca="1" si="426"/>
        <v>0</v>
      </c>
      <c r="S942" s="307">
        <f t="shared" ca="1" si="427"/>
        <v>8.5499999999999989</v>
      </c>
      <c r="T942" s="304">
        <f t="shared" ca="1" si="407"/>
        <v>83.875499999999988</v>
      </c>
      <c r="U942" s="311">
        <f t="shared" ca="1" si="408"/>
        <v>0</v>
      </c>
      <c r="V942" s="306">
        <f t="shared" ca="1" si="409"/>
        <v>1.2260992664444257</v>
      </c>
      <c r="W942" s="304">
        <f t="shared" ca="1" si="410"/>
        <v>58.500698886639654</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2.9102951313520471</v>
      </c>
      <c r="AH942" s="304">
        <f t="shared" ca="1" si="434"/>
        <v>-6.8421464683980666</v>
      </c>
    </row>
    <row r="943" spans="1:34" x14ac:dyDescent="0.3">
      <c r="A943" s="347">
        <f t="shared" ca="1" si="412"/>
        <v>1E-4</v>
      </c>
      <c r="B943" s="304">
        <f t="shared" ca="1" si="413"/>
        <v>33.142800000001621</v>
      </c>
      <c r="D943" s="306">
        <f t="shared" ca="1" si="414"/>
        <v>-0.74009659409715356</v>
      </c>
      <c r="E943" s="307">
        <f t="shared" ca="1" si="415"/>
        <v>-3.0079576572166955</v>
      </c>
      <c r="F943" s="304">
        <f t="shared" ca="1" si="416"/>
        <v>3.0976688390147129</v>
      </c>
      <c r="G943" s="306">
        <f t="shared" ca="1" si="417"/>
        <v>13.421635846889226</v>
      </c>
      <c r="H943" s="307">
        <f t="shared" ca="1" si="418"/>
        <v>-123.35587287236332</v>
      </c>
      <c r="I943" s="304">
        <f t="shared" ca="1" si="419"/>
        <v>124.08388969124542</v>
      </c>
      <c r="J943" s="306">
        <f t="shared" ca="1" si="420"/>
        <v>764.67878961306644</v>
      </c>
      <c r="K943" s="307">
        <f t="shared" ca="1" si="421"/>
        <v>-8.9819147278093805</v>
      </c>
      <c r="L943" s="304">
        <f t="shared" ca="1" si="406"/>
        <v>764.73153856518957</v>
      </c>
      <c r="M943" s="306">
        <f t="shared" ca="1" si="422"/>
        <v>-1.46241846659418</v>
      </c>
      <c r="N943" s="304">
        <f t="shared" ca="1" si="423"/>
        <v>-83.790406017840084</v>
      </c>
      <c r="P943" s="310">
        <f t="shared" ca="1" si="424"/>
        <v>23</v>
      </c>
      <c r="Q943" s="304">
        <f t="shared" ca="1" si="425"/>
        <v>0</v>
      </c>
      <c r="R943" s="306">
        <f t="shared" ca="1" si="426"/>
        <v>0</v>
      </c>
      <c r="S943" s="307">
        <f t="shared" ca="1" si="427"/>
        <v>8.5499999999999989</v>
      </c>
      <c r="T943" s="304">
        <f t="shared" ca="1" si="407"/>
        <v>83.875499999999988</v>
      </c>
      <c r="U943" s="311">
        <f t="shared" ca="1" si="408"/>
        <v>0</v>
      </c>
      <c r="V943" s="306">
        <f t="shared" ca="1" si="409"/>
        <v>1.2261007789092717</v>
      </c>
      <c r="W943" s="304">
        <f t="shared" ca="1" si="410"/>
        <v>58.501045466324847</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2.9102555029001094</v>
      </c>
      <c r="AH943" s="304">
        <f t="shared" ca="1" si="434"/>
        <v>-6.8421870042853401</v>
      </c>
    </row>
    <row r="944" spans="1:34" x14ac:dyDescent="0.3">
      <c r="A944" s="347">
        <f t="shared" ca="1" si="412"/>
        <v>1E-4</v>
      </c>
      <c r="B944" s="304">
        <f t="shared" ca="1" si="413"/>
        <v>33.142900000001625</v>
      </c>
      <c r="D944" s="306">
        <f t="shared" ca="1" si="414"/>
        <v>-0.74009516183675961</v>
      </c>
      <c r="E944" s="307">
        <f t="shared" ca="1" si="415"/>
        <v>-3.0079167265109383</v>
      </c>
      <c r="F944" s="304">
        <f t="shared" ca="1" si="416"/>
        <v>3.0976287515127532</v>
      </c>
      <c r="G944" s="306">
        <f t="shared" ca="1" si="417"/>
        <v>13.421561837373043</v>
      </c>
      <c r="H944" s="307">
        <f t="shared" ca="1" si="418"/>
        <v>-123.35617366403598</v>
      </c>
      <c r="I944" s="304">
        <f t="shared" ca="1" si="419"/>
        <v>124.08418071287828</v>
      </c>
      <c r="J944" s="306">
        <f t="shared" ca="1" si="420"/>
        <v>764.67878961306644</v>
      </c>
      <c r="K944" s="307">
        <f t="shared" ca="1" si="421"/>
        <v>-8.9942503301362002</v>
      </c>
      <c r="L944" s="304">
        <f t="shared" ca="1" si="406"/>
        <v>764.73168354861923</v>
      </c>
      <c r="M944" s="306">
        <f t="shared" ca="1" si="422"/>
        <v>-1.462419321744854</v>
      </c>
      <c r="N944" s="304">
        <f t="shared" ca="1" si="423"/>
        <v>-83.790455014364554</v>
      </c>
      <c r="P944" s="310">
        <f t="shared" ca="1" si="424"/>
        <v>23</v>
      </c>
      <c r="Q944" s="304">
        <f t="shared" ca="1" si="425"/>
        <v>0</v>
      </c>
      <c r="R944" s="306">
        <f t="shared" ca="1" si="426"/>
        <v>0</v>
      </c>
      <c r="S944" s="307">
        <f t="shared" ca="1" si="427"/>
        <v>8.5499999999999989</v>
      </c>
      <c r="T944" s="304">
        <f t="shared" ca="1" si="407"/>
        <v>83.875499999999988</v>
      </c>
      <c r="U944" s="311">
        <f t="shared" ca="1" si="408"/>
        <v>0</v>
      </c>
      <c r="V944" s="306">
        <f t="shared" ca="1" si="409"/>
        <v>1.226102291379672</v>
      </c>
      <c r="W944" s="304">
        <f t="shared" ca="1" si="410"/>
        <v>58.501392043859042</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2.910215874683356</v>
      </c>
      <c r="AH944" s="304">
        <f t="shared" ca="1" si="434"/>
        <v>-6.8422275399210353</v>
      </c>
    </row>
    <row r="945" spans="1:34" x14ac:dyDescent="0.3">
      <c r="A945" s="347">
        <f t="shared" ca="1" si="412"/>
        <v>1E-4</v>
      </c>
      <c r="B945" s="304">
        <f t="shared" ca="1" si="413"/>
        <v>33.143000000001628</v>
      </c>
      <c r="D945" s="306">
        <f t="shared" ca="1" si="414"/>
        <v>-0.74009372953904973</v>
      </c>
      <c r="E945" s="307">
        <f t="shared" ca="1" si="415"/>
        <v>-3.0078757960592162</v>
      </c>
      <c r="F945" s="304">
        <f t="shared" ca="1" si="416"/>
        <v>3.0975886642712718</v>
      </c>
      <c r="G945" s="306">
        <f t="shared" ca="1" si="417"/>
        <v>13.421487828000089</v>
      </c>
      <c r="H945" s="307">
        <f t="shared" ca="1" si="418"/>
        <v>-123.35647445161558</v>
      </c>
      <c r="I945" s="304">
        <f t="shared" ca="1" si="419"/>
        <v>124.08447173054832</v>
      </c>
      <c r="J945" s="306">
        <f t="shared" ca="1" si="420"/>
        <v>764.67878961306644</v>
      </c>
      <c r="K945" s="307">
        <f t="shared" ca="1" si="421"/>
        <v>-9.0065859625419833</v>
      </c>
      <c r="L945" s="304">
        <f t="shared" ca="1" si="406"/>
        <v>764.7318287313567</v>
      </c>
      <c r="M945" s="306">
        <f t="shared" ca="1" si="422"/>
        <v>-1.4624201768868013</v>
      </c>
      <c r="N945" s="304">
        <f t="shared" ca="1" si="423"/>
        <v>-83.790504010389014</v>
      </c>
      <c r="P945" s="310">
        <f t="shared" ca="1" si="424"/>
        <v>23</v>
      </c>
      <c r="Q945" s="304">
        <f t="shared" ca="1" si="425"/>
        <v>0</v>
      </c>
      <c r="R945" s="306">
        <f t="shared" ca="1" si="426"/>
        <v>0</v>
      </c>
      <c r="S945" s="307">
        <f t="shared" ca="1" si="427"/>
        <v>8.5499999999999989</v>
      </c>
      <c r="T945" s="304">
        <f t="shared" ca="1" si="407"/>
        <v>83.875499999999988</v>
      </c>
      <c r="U945" s="311">
        <f t="shared" ca="1" si="408"/>
        <v>0</v>
      </c>
      <c r="V945" s="306">
        <f t="shared" ca="1" si="409"/>
        <v>1.2261038038556271</v>
      </c>
      <c r="W945" s="304">
        <f t="shared" ca="1" si="410"/>
        <v>58.50173861924219</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2.9101762467017904</v>
      </c>
      <c r="AH945" s="304">
        <f t="shared" ca="1" si="434"/>
        <v>-6.8422680753051521</v>
      </c>
    </row>
    <row r="946" spans="1:34" x14ac:dyDescent="0.3">
      <c r="A946" s="347">
        <f t="shared" ca="1" si="412"/>
        <v>1E-4</v>
      </c>
      <c r="B946" s="304">
        <f t="shared" ca="1" si="413"/>
        <v>33.143100000001631</v>
      </c>
      <c r="D946" s="306">
        <f t="shared" ca="1" si="414"/>
        <v>-0.74009229720402614</v>
      </c>
      <c r="E946" s="307">
        <f t="shared" ca="1" si="415"/>
        <v>-3.0078348658615379</v>
      </c>
      <c r="F946" s="304">
        <f t="shared" ca="1" si="416"/>
        <v>3.0975485772902784</v>
      </c>
      <c r="G946" s="306">
        <f t="shared" ca="1" si="417"/>
        <v>13.421413818770368</v>
      </c>
      <c r="H946" s="307">
        <f t="shared" ca="1" si="418"/>
        <v>-123.35677523510216</v>
      </c>
      <c r="I946" s="304">
        <f t="shared" ca="1" si="419"/>
        <v>124.08476274425557</v>
      </c>
      <c r="J946" s="306">
        <f t="shared" ca="1" si="420"/>
        <v>764.67878961306644</v>
      </c>
      <c r="K946" s="307">
        <f t="shared" ca="1" si="421"/>
        <v>-9.0189216250263193</v>
      </c>
      <c r="L946" s="304">
        <f t="shared" ca="1" si="406"/>
        <v>764.73197411340311</v>
      </c>
      <c r="M946" s="306">
        <f t="shared" ca="1" si="422"/>
        <v>-1.4624210320200219</v>
      </c>
      <c r="N946" s="304">
        <f t="shared" ca="1" si="423"/>
        <v>-83.79055300591348</v>
      </c>
      <c r="P946" s="310">
        <f t="shared" ca="1" si="424"/>
        <v>23</v>
      </c>
      <c r="Q946" s="304">
        <f t="shared" ca="1" si="425"/>
        <v>0</v>
      </c>
      <c r="R946" s="306">
        <f t="shared" ca="1" si="426"/>
        <v>0</v>
      </c>
      <c r="S946" s="307">
        <f t="shared" ca="1" si="427"/>
        <v>8.5499999999999989</v>
      </c>
      <c r="T946" s="304">
        <f t="shared" ca="1" si="407"/>
        <v>83.875499999999988</v>
      </c>
      <c r="U946" s="311">
        <f t="shared" ca="1" si="408"/>
        <v>0</v>
      </c>
      <c r="V946" s="306">
        <f t="shared" ca="1" si="409"/>
        <v>1.2261053163371365</v>
      </c>
      <c r="W946" s="304">
        <f t="shared" ca="1" si="410"/>
        <v>58.50208519247429</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2.9101366189554163</v>
      </c>
      <c r="AH946" s="304">
        <f t="shared" ca="1" si="434"/>
        <v>-6.8423086104376836</v>
      </c>
    </row>
    <row r="947" spans="1:34" x14ac:dyDescent="0.3">
      <c r="A947" s="347">
        <f t="shared" ca="1" si="412"/>
        <v>1E-4</v>
      </c>
      <c r="B947" s="304">
        <f t="shared" ca="1" si="413"/>
        <v>33.143200000001634</v>
      </c>
      <c r="D947" s="306">
        <f t="shared" ca="1" si="414"/>
        <v>-0.74009086483168951</v>
      </c>
      <c r="E947" s="307">
        <f t="shared" ca="1" si="415"/>
        <v>-3.0077939359179009</v>
      </c>
      <c r="F947" s="304">
        <f t="shared" ca="1" si="416"/>
        <v>3.0975084905697701</v>
      </c>
      <c r="G947" s="306">
        <f t="shared" ca="1" si="417"/>
        <v>13.421339809683886</v>
      </c>
      <c r="H947" s="307">
        <f t="shared" ca="1" si="418"/>
        <v>-123.35707601449576</v>
      </c>
      <c r="I947" s="304">
        <f t="shared" ca="1" si="419"/>
        <v>124.08505375400009</v>
      </c>
      <c r="J947" s="306">
        <f t="shared" ca="1" si="420"/>
        <v>764.67878961306644</v>
      </c>
      <c r="K947" s="307">
        <f t="shared" ca="1" si="421"/>
        <v>-9.0312573175887998</v>
      </c>
      <c r="L947" s="304">
        <f t="shared" ca="1" si="406"/>
        <v>764.73211969476006</v>
      </c>
      <c r="M947" s="306">
        <f t="shared" ca="1" si="422"/>
        <v>-1.4624218871445163</v>
      </c>
      <c r="N947" s="304">
        <f t="shared" ca="1" si="423"/>
        <v>-83.790602000937966</v>
      </c>
      <c r="P947" s="310">
        <f t="shared" ca="1" si="424"/>
        <v>23</v>
      </c>
      <c r="Q947" s="304">
        <f t="shared" ca="1" si="425"/>
        <v>0</v>
      </c>
      <c r="R947" s="306">
        <f t="shared" ca="1" si="426"/>
        <v>0</v>
      </c>
      <c r="S947" s="307">
        <f t="shared" ca="1" si="427"/>
        <v>8.5499999999999989</v>
      </c>
      <c r="T947" s="304">
        <f t="shared" ca="1" si="407"/>
        <v>83.875499999999988</v>
      </c>
      <c r="U947" s="311">
        <f t="shared" ca="1" si="408"/>
        <v>0</v>
      </c>
      <c r="V947" s="306">
        <f t="shared" ca="1" si="409"/>
        <v>1.2261068288242003</v>
      </c>
      <c r="W947" s="304">
        <f t="shared" ca="1" si="410"/>
        <v>58.502431763555343</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2.9100969914442354</v>
      </c>
      <c r="AH947" s="304">
        <f t="shared" ca="1" si="434"/>
        <v>-6.8423491453186314</v>
      </c>
    </row>
    <row r="948" spans="1:34" x14ac:dyDescent="0.3">
      <c r="A948" s="347">
        <f t="shared" ca="1" si="412"/>
        <v>1E-4</v>
      </c>
      <c r="B948" s="304">
        <f t="shared" ca="1" si="413"/>
        <v>33.143300000001638</v>
      </c>
      <c r="D948" s="306">
        <f t="shared" ca="1" si="414"/>
        <v>-0.74008943242203962</v>
      </c>
      <c r="E948" s="307">
        <f t="shared" ca="1" si="415"/>
        <v>-3.0077530062283069</v>
      </c>
      <c r="F948" s="304">
        <f t="shared" ca="1" si="416"/>
        <v>3.0974684041097489</v>
      </c>
      <c r="G948" s="306">
        <f t="shared" ca="1" si="417"/>
        <v>13.421265800740644</v>
      </c>
      <c r="H948" s="307">
        <f t="shared" ca="1" si="418"/>
        <v>-123.35737678979638</v>
      </c>
      <c r="I948" s="304">
        <f t="shared" ca="1" si="419"/>
        <v>124.08534475978186</v>
      </c>
      <c r="J948" s="306">
        <f t="shared" ca="1" si="420"/>
        <v>764.67878961306644</v>
      </c>
      <c r="K948" s="307">
        <f t="shared" ca="1" si="421"/>
        <v>-9.0435930402290143</v>
      </c>
      <c r="L948" s="304">
        <f t="shared" ca="1" si="406"/>
        <v>764.73226547542879</v>
      </c>
      <c r="M948" s="306">
        <f t="shared" ca="1" si="422"/>
        <v>-1.4624227422602842</v>
      </c>
      <c r="N948" s="304">
        <f t="shared" ca="1" si="423"/>
        <v>-83.790650995462457</v>
      </c>
      <c r="P948" s="310">
        <f t="shared" ca="1" si="424"/>
        <v>23</v>
      </c>
      <c r="Q948" s="304">
        <f t="shared" ca="1" si="425"/>
        <v>0</v>
      </c>
      <c r="R948" s="306">
        <f t="shared" ca="1" si="426"/>
        <v>0</v>
      </c>
      <c r="S948" s="307">
        <f t="shared" ca="1" si="427"/>
        <v>8.5499999999999989</v>
      </c>
      <c r="T948" s="304">
        <f t="shared" ca="1" si="407"/>
        <v>83.875499999999988</v>
      </c>
      <c r="U948" s="311">
        <f t="shared" ca="1" si="408"/>
        <v>0</v>
      </c>
      <c r="V948" s="306">
        <f t="shared" ca="1" si="409"/>
        <v>1.2261083413168188</v>
      </c>
      <c r="W948" s="304">
        <f t="shared" ca="1" si="410"/>
        <v>58.502778332485335</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2.9100573641682486</v>
      </c>
      <c r="AH948" s="304">
        <f t="shared" ca="1" si="434"/>
        <v>-6.8423896799479946</v>
      </c>
    </row>
    <row r="949" spans="1:34" x14ac:dyDescent="0.3">
      <c r="A949" s="347">
        <f t="shared" ca="1" si="412"/>
        <v>1E-4</v>
      </c>
      <c r="B949" s="304">
        <f t="shared" ca="1" si="413"/>
        <v>33.143400000001641</v>
      </c>
      <c r="D949" s="306">
        <f t="shared" ca="1" si="414"/>
        <v>-0.74008799997507813</v>
      </c>
      <c r="E949" s="307">
        <f t="shared" ca="1" si="415"/>
        <v>-3.0077120767927585</v>
      </c>
      <c r="F949" s="304">
        <f t="shared" ca="1" si="416"/>
        <v>3.0974283179102176</v>
      </c>
      <c r="G949" s="306">
        <f t="shared" ca="1" si="417"/>
        <v>13.421191791940647</v>
      </c>
      <c r="H949" s="307">
        <f t="shared" ca="1" si="418"/>
        <v>-123.35767756100405</v>
      </c>
      <c r="I949" s="304">
        <f t="shared" ca="1" si="419"/>
        <v>124.08563576160094</v>
      </c>
      <c r="J949" s="306">
        <f t="shared" ca="1" si="420"/>
        <v>764.67878961306644</v>
      </c>
      <c r="K949" s="307">
        <f t="shared" ca="1" si="421"/>
        <v>-9.0559287929465544</v>
      </c>
      <c r="L949" s="304">
        <f t="shared" ca="1" si="406"/>
        <v>764.73241145541044</v>
      </c>
      <c r="M949" s="306">
        <f t="shared" ca="1" si="422"/>
        <v>-1.4624235973673263</v>
      </c>
      <c r="N949" s="304">
        <f t="shared" ca="1" si="423"/>
        <v>-83.79069998948701</v>
      </c>
      <c r="P949" s="310">
        <f t="shared" ca="1" si="424"/>
        <v>23</v>
      </c>
      <c r="Q949" s="304">
        <f t="shared" ca="1" si="425"/>
        <v>0</v>
      </c>
      <c r="R949" s="306">
        <f t="shared" ca="1" si="426"/>
        <v>0</v>
      </c>
      <c r="S949" s="307">
        <f t="shared" ca="1" si="427"/>
        <v>8.5499999999999989</v>
      </c>
      <c r="T949" s="304">
        <f t="shared" ca="1" si="407"/>
        <v>83.875499999999988</v>
      </c>
      <c r="U949" s="311">
        <f t="shared" ca="1" si="408"/>
        <v>0</v>
      </c>
      <c r="V949" s="306">
        <f t="shared" ca="1" si="409"/>
        <v>1.2261098538149919</v>
      </c>
      <c r="W949" s="304">
        <f t="shared" ca="1" si="410"/>
        <v>58.503124899264272</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2.9100177371274585</v>
      </c>
      <c r="AH949" s="304">
        <f t="shared" ca="1" si="434"/>
        <v>-6.8424302143257707</v>
      </c>
    </row>
    <row r="950" spans="1:34" x14ac:dyDescent="0.3">
      <c r="A950" s="347">
        <f t="shared" ca="1" si="412"/>
        <v>1E-4</v>
      </c>
      <c r="B950" s="304">
        <f t="shared" ca="1" si="413"/>
        <v>33.143500000001644</v>
      </c>
      <c r="D950" s="306">
        <f t="shared" ca="1" si="414"/>
        <v>-0.74008656749080393</v>
      </c>
      <c r="E950" s="307">
        <f t="shared" ca="1" si="415"/>
        <v>-3.0076711476112514</v>
      </c>
      <c r="F950" s="304">
        <f t="shared" ca="1" si="416"/>
        <v>3.0973882319711721</v>
      </c>
      <c r="G950" s="306">
        <f t="shared" ca="1" si="417"/>
        <v>13.421117783283897</v>
      </c>
      <c r="H950" s="307">
        <f t="shared" ca="1" si="418"/>
        <v>-123.35797832811882</v>
      </c>
      <c r="I950" s="304">
        <f t="shared" ca="1" si="419"/>
        <v>124.08592675945734</v>
      </c>
      <c r="J950" s="306">
        <f t="shared" ca="1" si="420"/>
        <v>764.67878961306644</v>
      </c>
      <c r="K950" s="307">
        <f t="shared" ca="1" si="421"/>
        <v>-9.0682645757410114</v>
      </c>
      <c r="L950" s="304">
        <f t="shared" ca="1" si="406"/>
        <v>764.73255763470672</v>
      </c>
      <c r="M950" s="306">
        <f t="shared" ca="1" si="422"/>
        <v>-1.4624244524656422</v>
      </c>
      <c r="N950" s="304">
        <f t="shared" ca="1" si="423"/>
        <v>-83.790748983011582</v>
      </c>
      <c r="P950" s="310">
        <f t="shared" ca="1" si="424"/>
        <v>23</v>
      </c>
      <c r="Q950" s="304">
        <f t="shared" ca="1" si="425"/>
        <v>0</v>
      </c>
      <c r="R950" s="306">
        <f t="shared" ca="1" si="426"/>
        <v>0</v>
      </c>
      <c r="S950" s="307">
        <f t="shared" ca="1" si="427"/>
        <v>8.5499999999999989</v>
      </c>
      <c r="T950" s="304">
        <f t="shared" ca="1" si="407"/>
        <v>83.875499999999988</v>
      </c>
      <c r="U950" s="311">
        <f t="shared" ca="1" si="408"/>
        <v>0</v>
      </c>
      <c r="V950" s="306">
        <f t="shared" ca="1" si="409"/>
        <v>1.2261113663187193</v>
      </c>
      <c r="W950" s="304">
        <f t="shared" ca="1" si="410"/>
        <v>58.503471463892105</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2.9099781103218625</v>
      </c>
      <c r="AH950" s="304">
        <f t="shared" ca="1" si="434"/>
        <v>-6.8424707484519622</v>
      </c>
    </row>
    <row r="951" spans="1:34" x14ac:dyDescent="0.3">
      <c r="A951" s="347">
        <f t="shared" ca="1" si="412"/>
        <v>1E-4</v>
      </c>
      <c r="B951" s="304">
        <f t="shared" ca="1" si="413"/>
        <v>33.143600000001648</v>
      </c>
      <c r="D951" s="306">
        <f t="shared" ca="1" si="414"/>
        <v>-0.74008513496921957</v>
      </c>
      <c r="E951" s="307">
        <f t="shared" ca="1" si="415"/>
        <v>-3.0076302186837935</v>
      </c>
      <c r="F951" s="304">
        <f t="shared" ca="1" si="416"/>
        <v>3.0973481462926205</v>
      </c>
      <c r="G951" s="306">
        <f t="shared" ca="1" si="417"/>
        <v>13.4210437747704</v>
      </c>
      <c r="H951" s="307">
        <f t="shared" ca="1" si="418"/>
        <v>-123.35827909114069</v>
      </c>
      <c r="I951" s="304">
        <f t="shared" ca="1" si="419"/>
        <v>124.08621775335108</v>
      </c>
      <c r="J951" s="306">
        <f t="shared" ca="1" si="420"/>
        <v>764.67878961306644</v>
      </c>
      <c r="K951" s="307">
        <f t="shared" ca="1" si="421"/>
        <v>-9.080600388611975</v>
      </c>
      <c r="L951" s="304">
        <f t="shared" ca="1" si="406"/>
        <v>764.73270401331854</v>
      </c>
      <c r="M951" s="306">
        <f t="shared" ca="1" si="422"/>
        <v>-1.4624253075552323</v>
      </c>
      <c r="N951" s="304">
        <f t="shared" ca="1" si="423"/>
        <v>-83.790797976036188</v>
      </c>
      <c r="P951" s="310">
        <f t="shared" ca="1" si="424"/>
        <v>23</v>
      </c>
      <c r="Q951" s="304">
        <f t="shared" ca="1" si="425"/>
        <v>0</v>
      </c>
      <c r="R951" s="306">
        <f t="shared" ca="1" si="426"/>
        <v>0</v>
      </c>
      <c r="S951" s="307">
        <f t="shared" ca="1" si="427"/>
        <v>8.5499999999999989</v>
      </c>
      <c r="T951" s="304">
        <f t="shared" ca="1" si="407"/>
        <v>83.875499999999988</v>
      </c>
      <c r="U951" s="311">
        <f t="shared" ca="1" si="408"/>
        <v>0</v>
      </c>
      <c r="V951" s="306">
        <f t="shared" ca="1" si="409"/>
        <v>1.2261128788280011</v>
      </c>
      <c r="W951" s="304">
        <f t="shared" ca="1" si="410"/>
        <v>58.50381802636884</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2.9099384837514686</v>
      </c>
      <c r="AH951" s="304">
        <f t="shared" ca="1" si="434"/>
        <v>-6.842511282326563</v>
      </c>
    </row>
    <row r="952" spans="1:34" x14ac:dyDescent="0.3">
      <c r="A952" s="347">
        <f t="shared" ca="1" si="412"/>
        <v>1E-4</v>
      </c>
      <c r="B952" s="304">
        <f t="shared" ca="1" si="413"/>
        <v>33.143700000001651</v>
      </c>
      <c r="D952" s="306">
        <f t="shared" ca="1" si="414"/>
        <v>-0.74008370241032517</v>
      </c>
      <c r="E952" s="307">
        <f t="shared" ca="1" si="415"/>
        <v>-3.0075892900103849</v>
      </c>
      <c r="F952" s="304">
        <f t="shared" ca="1" si="416"/>
        <v>3.0973080608745627</v>
      </c>
      <c r="G952" s="306">
        <f t="shared" ca="1" si="417"/>
        <v>13.420969766400159</v>
      </c>
      <c r="H952" s="307">
        <f t="shared" ca="1" si="418"/>
        <v>-123.35857985006969</v>
      </c>
      <c r="I952" s="304">
        <f t="shared" ca="1" si="419"/>
        <v>124.08650874328218</v>
      </c>
      <c r="J952" s="306">
        <f t="shared" ca="1" si="420"/>
        <v>764.67878961306644</v>
      </c>
      <c r="K952" s="307">
        <f t="shared" ca="1" si="421"/>
        <v>-9.092936231559035</v>
      </c>
      <c r="L952" s="304">
        <f t="shared" ca="1" si="406"/>
        <v>764.7328505912476</v>
      </c>
      <c r="M952" s="306">
        <f t="shared" ca="1" si="422"/>
        <v>-1.4624261626360966</v>
      </c>
      <c r="N952" s="304">
        <f t="shared" ca="1" si="423"/>
        <v>-83.790846968560857</v>
      </c>
      <c r="P952" s="310">
        <f t="shared" ca="1" si="424"/>
        <v>23</v>
      </c>
      <c r="Q952" s="304">
        <f t="shared" ca="1" si="425"/>
        <v>0</v>
      </c>
      <c r="R952" s="306">
        <f t="shared" ca="1" si="426"/>
        <v>0</v>
      </c>
      <c r="S952" s="307">
        <f t="shared" ca="1" si="427"/>
        <v>8.5499999999999989</v>
      </c>
      <c r="T952" s="304">
        <f t="shared" ca="1" si="407"/>
        <v>83.875499999999988</v>
      </c>
      <c r="U952" s="311">
        <f t="shared" ca="1" si="408"/>
        <v>0</v>
      </c>
      <c r="V952" s="306">
        <f t="shared" ca="1" si="409"/>
        <v>1.2261143913428367</v>
      </c>
      <c r="W952" s="304">
        <f t="shared" ca="1" si="410"/>
        <v>58.504164586694429</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2.9098988574162767</v>
      </c>
      <c r="AH952" s="304">
        <f t="shared" ca="1" si="434"/>
        <v>-6.8425518159495731</v>
      </c>
    </row>
    <row r="953" spans="1:34" x14ac:dyDescent="0.3">
      <c r="A953" s="347">
        <f t="shared" ca="1" si="412"/>
        <v>1E-4</v>
      </c>
      <c r="B953" s="304">
        <f t="shared" ca="1" si="413"/>
        <v>33.143800000001654</v>
      </c>
      <c r="D953" s="306">
        <f t="shared" ca="1" si="414"/>
        <v>-0.74008226981412051</v>
      </c>
      <c r="E953" s="307">
        <f t="shared" ca="1" si="415"/>
        <v>-3.0075483615910308</v>
      </c>
      <c r="F953" s="304">
        <f t="shared" ca="1" si="416"/>
        <v>3.097267975717005</v>
      </c>
      <c r="G953" s="306">
        <f t="shared" ca="1" si="417"/>
        <v>13.420895758173177</v>
      </c>
      <c r="H953" s="307">
        <f t="shared" ca="1" si="418"/>
        <v>-123.35888060490585</v>
      </c>
      <c r="I953" s="304">
        <f t="shared" ca="1" si="419"/>
        <v>124.08679972925069</v>
      </c>
      <c r="J953" s="306">
        <f t="shared" ca="1" si="420"/>
        <v>764.67878961306644</v>
      </c>
      <c r="K953" s="307">
        <f t="shared" ca="1" si="421"/>
        <v>-9.1052721045817844</v>
      </c>
      <c r="L953" s="304">
        <f t="shared" ca="1" si="406"/>
        <v>764.73299736849515</v>
      </c>
      <c r="M953" s="306">
        <f t="shared" ca="1" si="422"/>
        <v>-1.4624270177082352</v>
      </c>
      <c r="N953" s="304">
        <f t="shared" ca="1" si="423"/>
        <v>-83.790895960585587</v>
      </c>
      <c r="P953" s="310">
        <f t="shared" ca="1" si="424"/>
        <v>23</v>
      </c>
      <c r="Q953" s="304">
        <f t="shared" ca="1" si="425"/>
        <v>0</v>
      </c>
      <c r="R953" s="306">
        <f t="shared" ca="1" si="426"/>
        <v>0</v>
      </c>
      <c r="S953" s="307">
        <f t="shared" ca="1" si="427"/>
        <v>8.5499999999999989</v>
      </c>
      <c r="T953" s="304">
        <f t="shared" ca="1" si="407"/>
        <v>83.875499999999988</v>
      </c>
      <c r="U953" s="311">
        <f t="shared" ca="1" si="408"/>
        <v>0</v>
      </c>
      <c r="V953" s="306">
        <f t="shared" ca="1" si="409"/>
        <v>1.2261159038632272</v>
      </c>
      <c r="W953" s="304">
        <f t="shared" ca="1" si="410"/>
        <v>58.504511144868935</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2.9098592313162888</v>
      </c>
      <c r="AH953" s="304">
        <f t="shared" ca="1" si="434"/>
        <v>-6.842592349320987</v>
      </c>
    </row>
    <row r="954" spans="1:34" x14ac:dyDescent="0.3">
      <c r="A954" s="347">
        <f t="shared" ca="1" si="412"/>
        <v>1E-4</v>
      </c>
      <c r="B954" s="304">
        <f t="shared" ca="1" si="413"/>
        <v>33.143900000001658</v>
      </c>
      <c r="D954" s="306">
        <f t="shared" ca="1" si="414"/>
        <v>-0.74008083718060791</v>
      </c>
      <c r="E954" s="307">
        <f t="shared" ca="1" si="415"/>
        <v>-3.0075074334257224</v>
      </c>
      <c r="F954" s="304">
        <f t="shared" ca="1" si="416"/>
        <v>3.0972278908199384</v>
      </c>
      <c r="G954" s="306">
        <f t="shared" ca="1" si="417"/>
        <v>13.420821750089459</v>
      </c>
      <c r="H954" s="307">
        <f t="shared" ca="1" si="418"/>
        <v>-123.3591813556492</v>
      </c>
      <c r="I954" s="304">
        <f t="shared" ca="1" si="419"/>
        <v>124.08709071125659</v>
      </c>
      <c r="J954" s="306">
        <f t="shared" ca="1" si="420"/>
        <v>764.67878961306644</v>
      </c>
      <c r="K954" s="307">
        <f t="shared" ca="1" si="421"/>
        <v>-9.1176080076798129</v>
      </c>
      <c r="L954" s="304">
        <f t="shared" ca="1" si="406"/>
        <v>764.73314434506244</v>
      </c>
      <c r="M954" s="306">
        <f t="shared" ca="1" si="422"/>
        <v>-1.4624278727716487</v>
      </c>
      <c r="N954" s="304">
        <f t="shared" ca="1" si="423"/>
        <v>-83.790944952110394</v>
      </c>
      <c r="P954" s="310">
        <f t="shared" ca="1" si="424"/>
        <v>23</v>
      </c>
      <c r="Q954" s="304">
        <f t="shared" ca="1" si="425"/>
        <v>0</v>
      </c>
      <c r="R954" s="306">
        <f t="shared" ca="1" si="426"/>
        <v>0</v>
      </c>
      <c r="S954" s="307">
        <f t="shared" ca="1" si="427"/>
        <v>8.5499999999999989</v>
      </c>
      <c r="T954" s="304">
        <f t="shared" ca="1" si="407"/>
        <v>83.875499999999988</v>
      </c>
      <c r="U954" s="311">
        <f t="shared" ca="1" si="408"/>
        <v>0</v>
      </c>
      <c r="V954" s="306">
        <f t="shared" ca="1" si="409"/>
        <v>1.2261174163891717</v>
      </c>
      <c r="W954" s="304">
        <f t="shared" ca="1" si="410"/>
        <v>58.504857700892266</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2.9098196054515029</v>
      </c>
      <c r="AH954" s="304">
        <f t="shared" ca="1" si="434"/>
        <v>-6.842632882440812</v>
      </c>
    </row>
    <row r="955" spans="1:34" x14ac:dyDescent="0.3">
      <c r="A955" s="347">
        <f t="shared" ca="1" si="412"/>
        <v>1E-4</v>
      </c>
      <c r="B955" s="304">
        <f t="shared" ca="1" si="413"/>
        <v>33.144000000001661</v>
      </c>
      <c r="D955" s="306">
        <f t="shared" ca="1" si="414"/>
        <v>-0.74007940450978515</v>
      </c>
      <c r="E955" s="307">
        <f t="shared" ca="1" si="415"/>
        <v>-3.0074665055144711</v>
      </c>
      <c r="F955" s="304">
        <f t="shared" ca="1" si="416"/>
        <v>3.0971878061833746</v>
      </c>
      <c r="G955" s="306">
        <f t="shared" ca="1" si="417"/>
        <v>13.420747742149008</v>
      </c>
      <c r="H955" s="307">
        <f t="shared" ca="1" si="418"/>
        <v>-123.35948210229975</v>
      </c>
      <c r="I955" s="304">
        <f t="shared" ca="1" si="419"/>
        <v>124.08738168929993</v>
      </c>
      <c r="J955" s="306">
        <f t="shared" ca="1" si="420"/>
        <v>764.67878961306644</v>
      </c>
      <c r="K955" s="307">
        <f t="shared" ca="1" si="421"/>
        <v>-9.1299439408527103</v>
      </c>
      <c r="L955" s="304">
        <f t="shared" ca="1" si="406"/>
        <v>764.73329152095073</v>
      </c>
      <c r="M955" s="306">
        <f t="shared" ca="1" si="422"/>
        <v>-1.4624287278263366</v>
      </c>
      <c r="N955" s="304">
        <f t="shared" ca="1" si="423"/>
        <v>-83.790993943135263</v>
      </c>
      <c r="P955" s="310">
        <f t="shared" ca="1" si="424"/>
        <v>23</v>
      </c>
      <c r="Q955" s="304">
        <f t="shared" ca="1" si="425"/>
        <v>0</v>
      </c>
      <c r="R955" s="306">
        <f t="shared" ca="1" si="426"/>
        <v>0</v>
      </c>
      <c r="S955" s="307">
        <f t="shared" ca="1" si="427"/>
        <v>8.5499999999999989</v>
      </c>
      <c r="T955" s="304">
        <f t="shared" ca="1" si="407"/>
        <v>83.875499999999988</v>
      </c>
      <c r="U955" s="311">
        <f t="shared" ca="1" si="408"/>
        <v>0</v>
      </c>
      <c r="V955" s="306">
        <f t="shared" ca="1" si="409"/>
        <v>1.2261189289206709</v>
      </c>
      <c r="W955" s="304">
        <f t="shared" ca="1" si="410"/>
        <v>58.50520425476445</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2.9097799798219288</v>
      </c>
      <c r="AH955" s="304">
        <f t="shared" ca="1" si="434"/>
        <v>-6.8426734153090383</v>
      </c>
    </row>
    <row r="956" spans="1:34" x14ac:dyDescent="0.3">
      <c r="A956" s="347">
        <f t="shared" ca="1" si="412"/>
        <v>1E-4</v>
      </c>
      <c r="B956" s="304">
        <f t="shared" ca="1" si="413"/>
        <v>33.144100000001664</v>
      </c>
      <c r="D956" s="306">
        <f t="shared" ca="1" si="414"/>
        <v>-0.74007797180165558</v>
      </c>
      <c r="E956" s="307">
        <f t="shared" ca="1" si="415"/>
        <v>-3.0074255778572754</v>
      </c>
      <c r="F956" s="304">
        <f t="shared" ca="1" si="416"/>
        <v>3.0971477218073113</v>
      </c>
      <c r="G956" s="306">
        <f t="shared" ca="1" si="417"/>
        <v>13.420673734351828</v>
      </c>
      <c r="H956" s="307">
        <f t="shared" ca="1" si="418"/>
        <v>-123.35978284485753</v>
      </c>
      <c r="I956" s="304">
        <f t="shared" ca="1" si="419"/>
        <v>124.08767266338074</v>
      </c>
      <c r="J956" s="306">
        <f t="shared" ca="1" si="420"/>
        <v>764.67878961306644</v>
      </c>
      <c r="K956" s="307">
        <f t="shared" ca="1" si="421"/>
        <v>-9.142279904100068</v>
      </c>
      <c r="L956" s="304">
        <f t="shared" ca="1" si="406"/>
        <v>764.73343889616149</v>
      </c>
      <c r="M956" s="306">
        <f t="shared" ca="1" si="422"/>
        <v>-1.4624295828722995</v>
      </c>
      <c r="N956" s="304">
        <f t="shared" ca="1" si="423"/>
        <v>-83.791042933660222</v>
      </c>
      <c r="P956" s="310">
        <f t="shared" ca="1" si="424"/>
        <v>23</v>
      </c>
      <c r="Q956" s="304">
        <f t="shared" ca="1" si="425"/>
        <v>0</v>
      </c>
      <c r="R956" s="306">
        <f t="shared" ca="1" si="426"/>
        <v>0</v>
      </c>
      <c r="S956" s="307">
        <f t="shared" ca="1" si="427"/>
        <v>8.5499999999999989</v>
      </c>
      <c r="T956" s="304">
        <f t="shared" ca="1" si="407"/>
        <v>83.875499999999988</v>
      </c>
      <c r="U956" s="311">
        <f t="shared" ca="1" si="408"/>
        <v>0</v>
      </c>
      <c r="V956" s="306">
        <f t="shared" ca="1" si="409"/>
        <v>1.2261204414577234</v>
      </c>
      <c r="W956" s="304">
        <f t="shared" ca="1" si="410"/>
        <v>58.505550806485452</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2.9097403544275631</v>
      </c>
      <c r="AH956" s="304">
        <f t="shared" ca="1" si="434"/>
        <v>-6.8427139479256676</v>
      </c>
    </row>
    <row r="957" spans="1:34" x14ac:dyDescent="0.3">
      <c r="A957" s="347">
        <f t="shared" ca="1" si="412"/>
        <v>1E-4</v>
      </c>
      <c r="B957" s="304">
        <f t="shared" ca="1" si="413"/>
        <v>33.144200000001668</v>
      </c>
      <c r="D957" s="306">
        <f t="shared" ca="1" si="414"/>
        <v>-0.74007653905621751</v>
      </c>
      <c r="E957" s="307">
        <f t="shared" ca="1" si="415"/>
        <v>-3.0073846504541377</v>
      </c>
      <c r="F957" s="304">
        <f t="shared" ca="1" si="416"/>
        <v>3.0971076376917517</v>
      </c>
      <c r="G957" s="306">
        <f t="shared" ca="1" si="417"/>
        <v>13.420599726697922</v>
      </c>
      <c r="H957" s="307">
        <f t="shared" ca="1" si="418"/>
        <v>-123.36008358332258</v>
      </c>
      <c r="I957" s="304">
        <f t="shared" ca="1" si="419"/>
        <v>124.08796363349902</v>
      </c>
      <c r="J957" s="306">
        <f t="shared" ca="1" si="420"/>
        <v>764.67878961306644</v>
      </c>
      <c r="K957" s="307">
        <f t="shared" ca="1" si="421"/>
        <v>-9.1546158974214773</v>
      </c>
      <c r="L957" s="304">
        <f t="shared" ca="1" si="406"/>
        <v>764.73358647069608</v>
      </c>
      <c r="M957" s="306">
        <f t="shared" ca="1" si="422"/>
        <v>-1.4624304379095372</v>
      </c>
      <c r="N957" s="304">
        <f t="shared" ca="1" si="423"/>
        <v>-83.791091923685272</v>
      </c>
      <c r="P957" s="310">
        <f t="shared" ca="1" si="424"/>
        <v>23</v>
      </c>
      <c r="Q957" s="304">
        <f t="shared" ca="1" si="425"/>
        <v>0</v>
      </c>
      <c r="R957" s="306">
        <f t="shared" ca="1" si="426"/>
        <v>0</v>
      </c>
      <c r="S957" s="307">
        <f t="shared" ca="1" si="427"/>
        <v>8.5499999999999989</v>
      </c>
      <c r="T957" s="304">
        <f t="shared" ca="1" si="407"/>
        <v>83.875499999999988</v>
      </c>
      <c r="U957" s="311">
        <f t="shared" ca="1" si="408"/>
        <v>0</v>
      </c>
      <c r="V957" s="306">
        <f t="shared" ca="1" si="409"/>
        <v>1.2261219540003303</v>
      </c>
      <c r="W957" s="304">
        <f t="shared" ca="1" si="410"/>
        <v>58.50589735605525</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2.9097007292684083</v>
      </c>
      <c r="AH957" s="304">
        <f t="shared" ca="1" si="434"/>
        <v>-6.8427544802906972</v>
      </c>
    </row>
    <row r="958" spans="1:34" x14ac:dyDescent="0.3">
      <c r="A958" s="347">
        <f t="shared" ca="1" si="412"/>
        <v>1E-4</v>
      </c>
      <c r="B958" s="304">
        <f t="shared" ca="1" si="413"/>
        <v>33.144300000001671</v>
      </c>
      <c r="D958" s="306">
        <f t="shared" ca="1" si="414"/>
        <v>-0.74007510627347395</v>
      </c>
      <c r="E958" s="307">
        <f t="shared" ca="1" si="415"/>
        <v>-3.0073437233050608</v>
      </c>
      <c r="F958" s="304">
        <f t="shared" ca="1" si="416"/>
        <v>3.0970675538367001</v>
      </c>
      <c r="G958" s="306">
        <f t="shared" ca="1" si="417"/>
        <v>13.420525719187296</v>
      </c>
      <c r="H958" s="307">
        <f t="shared" ca="1" si="418"/>
        <v>-123.36038431769491</v>
      </c>
      <c r="I958" s="304">
        <f t="shared" ca="1" si="419"/>
        <v>124.08825459965482</v>
      </c>
      <c r="J958" s="306">
        <f t="shared" ca="1" si="420"/>
        <v>764.67878961306644</v>
      </c>
      <c r="K958" s="307">
        <f t="shared" ca="1" si="421"/>
        <v>-9.166951920816528</v>
      </c>
      <c r="L958" s="304">
        <f t="shared" ca="1" si="406"/>
        <v>764.73373424455576</v>
      </c>
      <c r="M958" s="306">
        <f t="shared" ca="1" si="422"/>
        <v>-1.4624312929380501</v>
      </c>
      <c r="N958" s="304">
        <f t="shared" ca="1" si="423"/>
        <v>-83.791140913210427</v>
      </c>
      <c r="P958" s="310">
        <f t="shared" ca="1" si="424"/>
        <v>23</v>
      </c>
      <c r="Q958" s="304">
        <f t="shared" ca="1" si="425"/>
        <v>0</v>
      </c>
      <c r="R958" s="306">
        <f t="shared" ca="1" si="426"/>
        <v>0</v>
      </c>
      <c r="S958" s="307">
        <f t="shared" ca="1" si="427"/>
        <v>8.5499999999999989</v>
      </c>
      <c r="T958" s="304">
        <f t="shared" ca="1" si="407"/>
        <v>83.875499999999988</v>
      </c>
      <c r="U958" s="311">
        <f t="shared" ca="1" si="408"/>
        <v>0</v>
      </c>
      <c r="V958" s="306">
        <f t="shared" ca="1" si="409"/>
        <v>1.2261234665484917</v>
      </c>
      <c r="W958" s="304">
        <f t="shared" ca="1" si="410"/>
        <v>58.506243903473887</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2.9096611043444698</v>
      </c>
      <c r="AH958" s="304">
        <f t="shared" ca="1" si="434"/>
        <v>-6.8427950124041237</v>
      </c>
    </row>
    <row r="959" spans="1:34" x14ac:dyDescent="0.3">
      <c r="A959" s="347">
        <f t="shared" ca="1" si="412"/>
        <v>1E-4</v>
      </c>
      <c r="B959" s="304">
        <f t="shared" ca="1" si="413"/>
        <v>33.144400000001674</v>
      </c>
      <c r="D959" s="306">
        <f t="shared" ca="1" si="414"/>
        <v>-0.7400736734534239</v>
      </c>
      <c r="E959" s="307">
        <f t="shared" ca="1" si="415"/>
        <v>-3.0073027964100403</v>
      </c>
      <c r="F959" s="304">
        <f t="shared" ca="1" si="416"/>
        <v>3.0970274702421503</v>
      </c>
      <c r="G959" s="306">
        <f t="shared" ca="1" si="417"/>
        <v>13.42045171181995</v>
      </c>
      <c r="H959" s="307">
        <f t="shared" ca="1" si="418"/>
        <v>-123.36068504797456</v>
      </c>
      <c r="I959" s="304">
        <f t="shared" ca="1" si="419"/>
        <v>124.08854556184815</v>
      </c>
      <c r="J959" s="306">
        <f t="shared" ca="1" si="420"/>
        <v>764.67878961306644</v>
      </c>
      <c r="K959" s="307">
        <f t="shared" ca="1" si="421"/>
        <v>-9.1792879742848115</v>
      </c>
      <c r="L959" s="304">
        <f t="shared" ca="1" si="406"/>
        <v>764.73388221774189</v>
      </c>
      <c r="M959" s="306">
        <f t="shared" ca="1" si="422"/>
        <v>-1.4624321479578382</v>
      </c>
      <c r="N959" s="304">
        <f t="shared" ca="1" si="423"/>
        <v>-83.791189902235686</v>
      </c>
      <c r="P959" s="310">
        <f t="shared" ca="1" si="424"/>
        <v>23</v>
      </c>
      <c r="Q959" s="304">
        <f t="shared" ca="1" si="425"/>
        <v>0</v>
      </c>
      <c r="R959" s="306">
        <f t="shared" ca="1" si="426"/>
        <v>0</v>
      </c>
      <c r="S959" s="307">
        <f t="shared" ca="1" si="427"/>
        <v>8.5499999999999989</v>
      </c>
      <c r="T959" s="304">
        <f t="shared" ca="1" si="407"/>
        <v>83.875499999999988</v>
      </c>
      <c r="U959" s="311">
        <f t="shared" ca="1" si="408"/>
        <v>0</v>
      </c>
      <c r="V959" s="306">
        <f t="shared" ca="1" si="409"/>
        <v>1.2261249791022073</v>
      </c>
      <c r="W959" s="304">
        <f t="shared" ca="1" si="410"/>
        <v>58.506590448741321</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2.9096214796557405</v>
      </c>
      <c r="AH959" s="304">
        <f t="shared" ca="1" si="434"/>
        <v>-6.8428355442659523</v>
      </c>
    </row>
    <row r="960" spans="1:34" x14ac:dyDescent="0.3">
      <c r="A960" s="347">
        <f t="shared" ca="1" si="412"/>
        <v>1E-4</v>
      </c>
      <c r="B960" s="304">
        <f t="shared" ca="1" si="413"/>
        <v>33.144500000001678</v>
      </c>
      <c r="D960" s="306">
        <f t="shared" ca="1" si="414"/>
        <v>-0.74007224059606891</v>
      </c>
      <c r="E960" s="307">
        <f t="shared" ca="1" si="415"/>
        <v>-3.0072618697690796</v>
      </c>
      <c r="F960" s="304">
        <f t="shared" ca="1" si="416"/>
        <v>3.0969873869081073</v>
      </c>
      <c r="G960" s="306">
        <f t="shared" ca="1" si="417"/>
        <v>13.420377704595891</v>
      </c>
      <c r="H960" s="307">
        <f t="shared" ca="1" si="418"/>
        <v>-123.36098577416153</v>
      </c>
      <c r="I960" s="304">
        <f t="shared" ca="1" si="419"/>
        <v>124.08883652007903</v>
      </c>
      <c r="J960" s="306">
        <f t="shared" ca="1" si="420"/>
        <v>764.67878961306644</v>
      </c>
      <c r="K960" s="307">
        <f t="shared" ca="1" si="421"/>
        <v>-9.1916240578259174</v>
      </c>
      <c r="L960" s="304">
        <f t="shared" ca="1" si="406"/>
        <v>764.73403039025584</v>
      </c>
      <c r="M960" s="306">
        <f t="shared" ca="1" si="422"/>
        <v>-1.4624330029689017</v>
      </c>
      <c r="N960" s="304">
        <f t="shared" ca="1" si="423"/>
        <v>-83.791238890761051</v>
      </c>
      <c r="P960" s="310">
        <f t="shared" ca="1" si="424"/>
        <v>23</v>
      </c>
      <c r="Q960" s="304">
        <f t="shared" ca="1" si="425"/>
        <v>0</v>
      </c>
      <c r="R960" s="306">
        <f t="shared" ca="1" si="426"/>
        <v>0</v>
      </c>
      <c r="S960" s="307">
        <f t="shared" ca="1" si="427"/>
        <v>8.5499999999999989</v>
      </c>
      <c r="T960" s="304">
        <f t="shared" ca="1" si="407"/>
        <v>83.875499999999988</v>
      </c>
      <c r="U960" s="311">
        <f t="shared" ca="1" si="408"/>
        <v>0</v>
      </c>
      <c r="V960" s="306">
        <f t="shared" ca="1" si="409"/>
        <v>1.2261264916614765</v>
      </c>
      <c r="W960" s="304">
        <f t="shared" ca="1" si="410"/>
        <v>58.506936991857501</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2.9095818552022301</v>
      </c>
      <c r="AH960" s="304">
        <f t="shared" ca="1" si="434"/>
        <v>-6.8428760758761786</v>
      </c>
    </row>
    <row r="961" spans="1:34" x14ac:dyDescent="0.3">
      <c r="A961" s="347">
        <f t="shared" ca="1" si="412"/>
        <v>1E-4</v>
      </c>
      <c r="B961" s="304">
        <f t="shared" ca="1" si="413"/>
        <v>33.144600000001681</v>
      </c>
      <c r="D961" s="306">
        <f t="shared" ca="1" si="414"/>
        <v>-0.74007080770140821</v>
      </c>
      <c r="E961" s="307">
        <f t="shared" ca="1" si="415"/>
        <v>-3.0072209433821859</v>
      </c>
      <c r="F961" s="304">
        <f t="shared" ca="1" si="416"/>
        <v>3.0969473038345776</v>
      </c>
      <c r="G961" s="306">
        <f t="shared" ca="1" si="417"/>
        <v>13.420303697515122</v>
      </c>
      <c r="H961" s="307">
        <f t="shared" ca="1" si="418"/>
        <v>-123.36128649625587</v>
      </c>
      <c r="I961" s="304">
        <f t="shared" ca="1" si="419"/>
        <v>124.08912747434748</v>
      </c>
      <c r="J961" s="306">
        <f t="shared" ca="1" si="420"/>
        <v>764.67878961306644</v>
      </c>
      <c r="K961" s="307">
        <f t="shared" ca="1" si="421"/>
        <v>-9.203960171439439</v>
      </c>
      <c r="L961" s="304">
        <f t="shared" ca="1" si="406"/>
        <v>764.73417876209885</v>
      </c>
      <c r="M961" s="306">
        <f t="shared" ca="1" si="422"/>
        <v>-1.4624338579712408</v>
      </c>
      <c r="N961" s="304">
        <f t="shared" ca="1" si="423"/>
        <v>-83.791287878786562</v>
      </c>
      <c r="P961" s="310">
        <f t="shared" ca="1" si="424"/>
        <v>23</v>
      </c>
      <c r="Q961" s="304">
        <f t="shared" ca="1" si="425"/>
        <v>0</v>
      </c>
      <c r="R961" s="306">
        <f t="shared" ca="1" si="426"/>
        <v>0</v>
      </c>
      <c r="S961" s="307">
        <f t="shared" ca="1" si="427"/>
        <v>8.5499999999999989</v>
      </c>
      <c r="T961" s="304">
        <f t="shared" ca="1" si="407"/>
        <v>83.875499999999988</v>
      </c>
      <c r="U961" s="311">
        <f t="shared" ca="1" si="408"/>
        <v>0</v>
      </c>
      <c r="V961" s="306">
        <f t="shared" ca="1" si="409"/>
        <v>1.2261280042263001</v>
      </c>
      <c r="W961" s="304">
        <f t="shared" ca="1" si="410"/>
        <v>58.507283532822456</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2.9095422309839396</v>
      </c>
      <c r="AH961" s="304">
        <f t="shared" ca="1" si="434"/>
        <v>-6.8429166072347964</v>
      </c>
    </row>
    <row r="962" spans="1:34" x14ac:dyDescent="0.3">
      <c r="A962" s="347">
        <f t="shared" ca="1" si="412"/>
        <v>1E-4</v>
      </c>
      <c r="B962" s="304">
        <f t="shared" ca="1" si="413"/>
        <v>33.144700000001684</v>
      </c>
      <c r="D962" s="306">
        <f t="shared" ca="1" si="414"/>
        <v>-0.74006937476944246</v>
      </c>
      <c r="E962" s="307">
        <f t="shared" ca="1" si="415"/>
        <v>-3.0071800172493566</v>
      </c>
      <c r="F962" s="304">
        <f t="shared" ca="1" si="416"/>
        <v>3.0969072210215587</v>
      </c>
      <c r="G962" s="306">
        <f t="shared" ca="1" si="417"/>
        <v>13.420229690577646</v>
      </c>
      <c r="H962" s="307">
        <f t="shared" ca="1" si="418"/>
        <v>-123.3615872142576</v>
      </c>
      <c r="I962" s="304">
        <f t="shared" ca="1" si="419"/>
        <v>124.08941842465353</v>
      </c>
      <c r="J962" s="306">
        <f t="shared" ca="1" si="420"/>
        <v>764.67878961306644</v>
      </c>
      <c r="K962" s="307">
        <f t="shared" ca="1" si="421"/>
        <v>-9.2162963151249642</v>
      </c>
      <c r="L962" s="304">
        <f t="shared" ca="1" si="406"/>
        <v>764.73432733327229</v>
      </c>
      <c r="M962" s="306">
        <f t="shared" ca="1" si="422"/>
        <v>-1.4624347129648554</v>
      </c>
      <c r="N962" s="304">
        <f t="shared" ca="1" si="423"/>
        <v>-83.791336866312193</v>
      </c>
      <c r="P962" s="310">
        <f t="shared" ca="1" si="424"/>
        <v>23</v>
      </c>
      <c r="Q962" s="304">
        <f t="shared" ca="1" si="425"/>
        <v>0</v>
      </c>
      <c r="R962" s="306">
        <f t="shared" ca="1" si="426"/>
        <v>0</v>
      </c>
      <c r="S962" s="307">
        <f t="shared" ca="1" si="427"/>
        <v>8.5499999999999989</v>
      </c>
      <c r="T962" s="304">
        <f t="shared" ca="1" si="407"/>
        <v>83.875499999999988</v>
      </c>
      <c r="U962" s="311">
        <f t="shared" ca="1" si="408"/>
        <v>0</v>
      </c>
      <c r="V962" s="306">
        <f t="shared" ca="1" si="409"/>
        <v>1.2261295167966775</v>
      </c>
      <c r="W962" s="304">
        <f t="shared" ca="1" si="410"/>
        <v>58.50763007163615</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2.9095026070008698</v>
      </c>
      <c r="AH962" s="304">
        <f t="shared" ca="1" si="434"/>
        <v>-6.8429571383418084</v>
      </c>
    </row>
    <row r="963" spans="1:34" x14ac:dyDescent="0.3">
      <c r="A963" s="347">
        <f t="shared" ca="1" si="412"/>
        <v>1E-4</v>
      </c>
      <c r="B963" s="304">
        <f t="shared" ca="1" si="413"/>
        <v>33.144800000001688</v>
      </c>
      <c r="D963" s="306">
        <f t="shared" ca="1" si="414"/>
        <v>-0.74006794180017443</v>
      </c>
      <c r="E963" s="307">
        <f t="shared" ca="1" si="415"/>
        <v>-3.0071390913705942</v>
      </c>
      <c r="F963" s="304">
        <f t="shared" ca="1" si="416"/>
        <v>3.0968671384690545</v>
      </c>
      <c r="G963" s="306">
        <f t="shared" ca="1" si="417"/>
        <v>13.420155683783465</v>
      </c>
      <c r="H963" s="307">
        <f t="shared" ca="1" si="418"/>
        <v>-123.36188792816674</v>
      </c>
      <c r="I963" s="304">
        <f t="shared" ca="1" si="419"/>
        <v>124.08970937099723</v>
      </c>
      <c r="J963" s="306">
        <f t="shared" ca="1" si="420"/>
        <v>764.67878961306644</v>
      </c>
      <c r="K963" s="307">
        <f t="shared" ca="1" si="421"/>
        <v>-9.2286324888820861</v>
      </c>
      <c r="L963" s="304">
        <f t="shared" ca="1" si="406"/>
        <v>764.73447610377752</v>
      </c>
      <c r="M963" s="306">
        <f t="shared" ca="1" si="422"/>
        <v>-1.4624355679497458</v>
      </c>
      <c r="N963" s="304">
        <f t="shared" ca="1" si="423"/>
        <v>-83.791385853337957</v>
      </c>
      <c r="P963" s="310">
        <f t="shared" ca="1" si="424"/>
        <v>23</v>
      </c>
      <c r="Q963" s="304">
        <f t="shared" ca="1" si="425"/>
        <v>0</v>
      </c>
      <c r="R963" s="306">
        <f t="shared" ca="1" si="426"/>
        <v>0</v>
      </c>
      <c r="S963" s="307">
        <f t="shared" ca="1" si="427"/>
        <v>8.5499999999999989</v>
      </c>
      <c r="T963" s="304">
        <f t="shared" ca="1" si="407"/>
        <v>83.875499999999988</v>
      </c>
      <c r="U963" s="311">
        <f t="shared" ca="1" si="408"/>
        <v>0</v>
      </c>
      <c r="V963" s="306">
        <f t="shared" ca="1" si="409"/>
        <v>1.2261310293726086</v>
      </c>
      <c r="W963" s="304">
        <f t="shared" ca="1" si="410"/>
        <v>58.507976608298591</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2.9094629832530243</v>
      </c>
      <c r="AH963" s="304">
        <f t="shared" ca="1" si="434"/>
        <v>-6.842997669197211</v>
      </c>
    </row>
    <row r="964" spans="1:34" x14ac:dyDescent="0.3">
      <c r="A964" s="347">
        <f t="shared" ca="1" si="412"/>
        <v>1E-4</v>
      </c>
      <c r="B964" s="304">
        <f t="shared" ca="1" si="413"/>
        <v>33.144900000001691</v>
      </c>
      <c r="D964" s="306">
        <f t="shared" ca="1" si="414"/>
        <v>-0.74006650879360303</v>
      </c>
      <c r="E964" s="307">
        <f t="shared" ca="1" si="415"/>
        <v>-3.0070981657458979</v>
      </c>
      <c r="F964" s="304">
        <f t="shared" ca="1" si="416"/>
        <v>3.0968270561770632</v>
      </c>
      <c r="G964" s="306">
        <f t="shared" ca="1" si="417"/>
        <v>13.420081677132586</v>
      </c>
      <c r="H964" s="307">
        <f t="shared" ca="1" si="418"/>
        <v>-123.36218863798331</v>
      </c>
      <c r="I964" s="304">
        <f t="shared" ca="1" si="419"/>
        <v>124.09000031337854</v>
      </c>
      <c r="J964" s="306">
        <f t="shared" ca="1" si="420"/>
        <v>764.67878961306644</v>
      </c>
      <c r="K964" s="307">
        <f t="shared" ca="1" si="421"/>
        <v>-9.2409686927103944</v>
      </c>
      <c r="L964" s="304">
        <f t="shared" ref="L964:L1004" ca="1" si="435">SQRT(pos_x^2+pos_z^2)</f>
        <v>764.73462507361592</v>
      </c>
      <c r="M964" s="306">
        <f t="shared" ca="1" si="422"/>
        <v>-1.4624364229259121</v>
      </c>
      <c r="N964" s="304">
        <f t="shared" ca="1" si="423"/>
        <v>-83.791434839863868</v>
      </c>
      <c r="P964" s="310">
        <f t="shared" ca="1" si="424"/>
        <v>23</v>
      </c>
      <c r="Q964" s="304">
        <f t="shared" ca="1" si="425"/>
        <v>0</v>
      </c>
      <c r="R964" s="306">
        <f t="shared" ca="1" si="426"/>
        <v>0</v>
      </c>
      <c r="S964" s="307">
        <f t="shared" ca="1" si="427"/>
        <v>8.5499999999999989</v>
      </c>
      <c r="T964" s="304">
        <f t="shared" ref="T964:T1004" ca="1" si="436">m*g</f>
        <v>83.875499999999988</v>
      </c>
      <c r="U964" s="311">
        <f t="shared" ref="U964:U1004" ca="1" si="437">IF(pos_xz&lt;L_rampe,Poids*COS(Beta),0)</f>
        <v>0</v>
      </c>
      <c r="V964" s="306">
        <f t="shared" ref="V964:V1004" ca="1" si="438">Rho_moyen*(20000-Alt_rampe-pos_z)/(20000+Alt_rampe+pos_z)</f>
        <v>1.226132541954094</v>
      </c>
      <c r="W964" s="304">
        <f t="shared" ref="W964:W1003" ca="1" si="439">1/2*Rho*Sref*Cx*vit_xz^2</f>
        <v>58.508323142809729</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2.9094233597404013</v>
      </c>
      <c r="AH964" s="304">
        <f t="shared" ca="1" si="434"/>
        <v>-6.8430381998010059</v>
      </c>
    </row>
    <row r="965" spans="1:34" x14ac:dyDescent="0.3">
      <c r="A965" s="347">
        <f t="shared" ref="A965:A1004" ca="1" si="441">IF(B964+0.01&lt;=T_ini+ROUNDUP(Temps_fin_propu,0), 0.01, IF(K964&gt;0, 0.1, 0.0001))</f>
        <v>1E-4</v>
      </c>
      <c r="B965" s="304">
        <f t="shared" ref="B965:B1004" ca="1" si="442">B964+pas</f>
        <v>33.145000000001694</v>
      </c>
      <c r="D965" s="306">
        <f t="shared" ref="D965:D1004" ca="1" si="443">IF(AND(L964&lt;L_rampe,Poussee&lt;Poids*SIN(M964)),0,(-W964+Poussee)/m*COS(M964)-U964/m*SIN(M964))</f>
        <v>-0.74006507574972913</v>
      </c>
      <c r="E965" s="307">
        <f t="shared" ref="E965:E1004" ca="1" si="444">IF(AND(L964&lt;L_rampe,Poussee&lt;Poids*SIN(M964)),0,(-W964+Poussee)/m*SIN(M964)+U964/m*COS(M964)-Poids/m)</f>
        <v>-3.0070572403752749</v>
      </c>
      <c r="F965" s="304">
        <f t="shared" ref="F965:F1004" ca="1" si="445">SQRT(acc_x^2+acc_z^2)</f>
        <v>3.0967869741455929</v>
      </c>
      <c r="G965" s="306">
        <f t="shared" ref="G965:G1004" ca="1" si="446">G964+acc_x*pas</f>
        <v>13.420007670625012</v>
      </c>
      <c r="H965" s="307">
        <f t="shared" ref="H965:H1004" ca="1" si="447">H964+acc_z*pas</f>
        <v>-123.36248934370735</v>
      </c>
      <c r="I965" s="304">
        <f t="shared" ref="I965:I1004" ca="1" si="448">SQRT(vit_x^2+vit_z^2)</f>
        <v>124.09029125179755</v>
      </c>
      <c r="J965" s="306">
        <f t="shared" ref="J965:J1004" ca="1" si="449">J964+0.5*(vit_x+G964)*pas*(K964&gt;=0)</f>
        <v>764.67878961306644</v>
      </c>
      <c r="K965" s="307">
        <f t="shared" ref="K965:K1004" ca="1" si="450">K964+0.5*(vit_z+H964)*pas</f>
        <v>-9.2533049266094789</v>
      </c>
      <c r="L965" s="304">
        <f t="shared" ca="1" si="435"/>
        <v>764.73477424278883</v>
      </c>
      <c r="M965" s="306">
        <f t="shared" ref="M965:M1004" ca="1" si="451">IF(AND(L964&gt;L_rampe,G965&gt;0),ATAN2(G965,H965),$M$4)</f>
        <v>-1.4624372778933543</v>
      </c>
      <c r="N965" s="304">
        <f t="shared" ref="N965:N1004" ca="1" si="452">DEGREES(Beta)</f>
        <v>-83.791483825889927</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8.5499999999999989</v>
      </c>
      <c r="T965" s="304">
        <f t="shared" ca="1" si="436"/>
        <v>83.875499999999988</v>
      </c>
      <c r="U965" s="311">
        <f t="shared" ca="1" si="437"/>
        <v>0</v>
      </c>
      <c r="V965" s="306">
        <f t="shared" ca="1" si="438"/>
        <v>1.2261340545411332</v>
      </c>
      <c r="W965" s="304">
        <f t="shared" ca="1" si="439"/>
        <v>58.508669675169614</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2.9093837364630106</v>
      </c>
      <c r="AH965" s="304">
        <f t="shared" ref="AH965:AH1004" ca="1" si="463">IF(AND(L964&lt;L_rampe,Poussee&lt;Poids*SIN(M964)), g*SIN(M964), (-W964+Poussee)/m)</f>
        <v>-6.8430787301531852</v>
      </c>
    </row>
    <row r="966" spans="1:34" x14ac:dyDescent="0.3">
      <c r="A966" s="347">
        <f t="shared" ca="1" si="441"/>
        <v>1E-4</v>
      </c>
      <c r="B966" s="304">
        <f t="shared" ca="1" si="442"/>
        <v>33.145100000001698</v>
      </c>
      <c r="D966" s="306">
        <f t="shared" ca="1" si="443"/>
        <v>-0.74006364266855529</v>
      </c>
      <c r="E966" s="307">
        <f t="shared" ca="1" si="444"/>
        <v>-3.0070163152587179</v>
      </c>
      <c r="F966" s="304">
        <f t="shared" ca="1" si="445"/>
        <v>3.0967468923746364</v>
      </c>
      <c r="G966" s="306">
        <f t="shared" ca="1" si="446"/>
        <v>13.419933664260745</v>
      </c>
      <c r="H966" s="307">
        <f t="shared" ca="1" si="447"/>
        <v>-123.36279004533888</v>
      </c>
      <c r="I966" s="304">
        <f t="shared" ca="1" si="448"/>
        <v>124.09058218625425</v>
      </c>
      <c r="J966" s="306">
        <f t="shared" ca="1" si="449"/>
        <v>764.67878961306644</v>
      </c>
      <c r="K966" s="307">
        <f t="shared" ca="1" si="450"/>
        <v>-9.2656411905789309</v>
      </c>
      <c r="L966" s="304">
        <f t="shared" ca="1" si="435"/>
        <v>764.7349236112974</v>
      </c>
      <c r="M966" s="306">
        <f t="shared" ca="1" si="451"/>
        <v>-1.462438132852073</v>
      </c>
      <c r="N966" s="304">
        <f t="shared" ca="1" si="452"/>
        <v>-83.791532811416175</v>
      </c>
      <c r="P966" s="310">
        <f t="shared" ca="1" si="453"/>
        <v>23</v>
      </c>
      <c r="Q966" s="304">
        <f t="shared" ca="1" si="454"/>
        <v>0</v>
      </c>
      <c r="R966" s="306">
        <f t="shared" ca="1" si="455"/>
        <v>0</v>
      </c>
      <c r="S966" s="307">
        <f t="shared" ca="1" si="456"/>
        <v>8.5499999999999989</v>
      </c>
      <c r="T966" s="304">
        <f t="shared" ca="1" si="436"/>
        <v>83.875499999999988</v>
      </c>
      <c r="U966" s="311">
        <f t="shared" ca="1" si="437"/>
        <v>0</v>
      </c>
      <c r="V966" s="306">
        <f t="shared" ca="1" si="438"/>
        <v>1.2261355671337262</v>
      </c>
      <c r="W966" s="304">
        <f t="shared" ca="1" si="439"/>
        <v>58.509016205378167</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2.9093441134208424</v>
      </c>
      <c r="AH966" s="304">
        <f t="shared" ca="1" si="463"/>
        <v>-6.8431192602537569</v>
      </c>
    </row>
    <row r="967" spans="1:34" x14ac:dyDescent="0.3">
      <c r="A967" s="347">
        <f t="shared" ca="1" si="441"/>
        <v>1E-4</v>
      </c>
      <c r="B967" s="304">
        <f t="shared" ca="1" si="442"/>
        <v>33.145200000001701</v>
      </c>
      <c r="D967" s="306">
        <f t="shared" ca="1" si="443"/>
        <v>-0.74006220955007729</v>
      </c>
      <c r="E967" s="307">
        <f t="shared" ca="1" si="444"/>
        <v>-3.0069753903962377</v>
      </c>
      <c r="F967" s="304">
        <f t="shared" ca="1" si="445"/>
        <v>3.096706810864204</v>
      </c>
      <c r="G967" s="306">
        <f t="shared" ca="1" si="446"/>
        <v>13.419859658039789</v>
      </c>
      <c r="H967" s="307">
        <f t="shared" ca="1" si="447"/>
        <v>-123.36309074287793</v>
      </c>
      <c r="I967" s="304">
        <f t="shared" ca="1" si="448"/>
        <v>124.09087311674867</v>
      </c>
      <c r="J967" s="306">
        <f t="shared" ca="1" si="449"/>
        <v>764.67878961306644</v>
      </c>
      <c r="K967" s="307">
        <f t="shared" ca="1" si="450"/>
        <v>-9.2779774846183418</v>
      </c>
      <c r="L967" s="304">
        <f t="shared" ca="1" si="435"/>
        <v>764.73507317914311</v>
      </c>
      <c r="M967" s="306">
        <f t="shared" ca="1" si="451"/>
        <v>-1.4624389878020678</v>
      </c>
      <c r="N967" s="304">
        <f t="shared" ca="1" si="452"/>
        <v>-83.791581796442571</v>
      </c>
      <c r="P967" s="310">
        <f t="shared" ca="1" si="453"/>
        <v>23</v>
      </c>
      <c r="Q967" s="304">
        <f t="shared" ca="1" si="454"/>
        <v>0</v>
      </c>
      <c r="R967" s="306">
        <f t="shared" ca="1" si="455"/>
        <v>0</v>
      </c>
      <c r="S967" s="307">
        <f t="shared" ca="1" si="456"/>
        <v>8.5499999999999989</v>
      </c>
      <c r="T967" s="304">
        <f t="shared" ca="1" si="436"/>
        <v>83.875499999999988</v>
      </c>
      <c r="U967" s="311">
        <f t="shared" ca="1" si="437"/>
        <v>0</v>
      </c>
      <c r="V967" s="306">
        <f t="shared" ca="1" si="438"/>
        <v>1.2261370797318731</v>
      </c>
      <c r="W967" s="304">
        <f t="shared" ca="1" si="439"/>
        <v>58.50936273343541</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2.9093044906139074</v>
      </c>
      <c r="AH967" s="304">
        <f t="shared" ca="1" si="463"/>
        <v>-6.8431597901027104</v>
      </c>
    </row>
    <row r="968" spans="1:34" x14ac:dyDescent="0.3">
      <c r="A968" s="347">
        <f t="shared" ca="1" si="441"/>
        <v>1E-4</v>
      </c>
      <c r="B968" s="304">
        <f t="shared" ca="1" si="442"/>
        <v>33.145300000001704</v>
      </c>
      <c r="D968" s="306">
        <f t="shared" ca="1" si="443"/>
        <v>-0.74006077639430068</v>
      </c>
      <c r="E968" s="307">
        <f t="shared" ca="1" si="444"/>
        <v>-3.0069344657878307</v>
      </c>
      <c r="F968" s="304">
        <f t="shared" ca="1" si="445"/>
        <v>3.0966667296142933</v>
      </c>
      <c r="G968" s="306">
        <f t="shared" ca="1" si="446"/>
        <v>13.419785651962149</v>
      </c>
      <c r="H968" s="307">
        <f t="shared" ca="1" si="447"/>
        <v>-123.36339143632451</v>
      </c>
      <c r="I968" s="304">
        <f t="shared" ca="1" si="448"/>
        <v>124.09116404328083</v>
      </c>
      <c r="J968" s="306">
        <f t="shared" ca="1" si="449"/>
        <v>764.67878961306644</v>
      </c>
      <c r="K968" s="307">
        <f t="shared" ca="1" si="450"/>
        <v>-9.2903138087273014</v>
      </c>
      <c r="L968" s="304">
        <f t="shared" ca="1" si="435"/>
        <v>764.73522294632733</v>
      </c>
      <c r="M968" s="306">
        <f t="shared" ca="1" si="451"/>
        <v>-1.4624398427433392</v>
      </c>
      <c r="N968" s="304">
        <f t="shared" ca="1" si="452"/>
        <v>-83.791630780969143</v>
      </c>
      <c r="P968" s="310">
        <f t="shared" ca="1" si="453"/>
        <v>23</v>
      </c>
      <c r="Q968" s="304">
        <f t="shared" ca="1" si="454"/>
        <v>0</v>
      </c>
      <c r="R968" s="306">
        <f t="shared" ca="1" si="455"/>
        <v>0</v>
      </c>
      <c r="S968" s="307">
        <f t="shared" ca="1" si="456"/>
        <v>8.5499999999999989</v>
      </c>
      <c r="T968" s="304">
        <f t="shared" ca="1" si="436"/>
        <v>83.875499999999988</v>
      </c>
      <c r="U968" s="311">
        <f t="shared" ca="1" si="437"/>
        <v>0</v>
      </c>
      <c r="V968" s="306">
        <f t="shared" ca="1" si="438"/>
        <v>1.2261385923355741</v>
      </c>
      <c r="W968" s="304">
        <f t="shared" ca="1" si="439"/>
        <v>58.509709259341328</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2.9092648680422037</v>
      </c>
      <c r="AH968" s="304">
        <f t="shared" ca="1" si="463"/>
        <v>-6.8432003197000491</v>
      </c>
    </row>
    <row r="969" spans="1:34" x14ac:dyDescent="0.3">
      <c r="A969" s="347">
        <f t="shared" ca="1" si="441"/>
        <v>1E-4</v>
      </c>
      <c r="B969" s="304">
        <f t="shared" ca="1" si="442"/>
        <v>33.145400000001707</v>
      </c>
      <c r="D969" s="306">
        <f t="shared" ca="1" si="443"/>
        <v>-0.74005934320122357</v>
      </c>
      <c r="E969" s="307">
        <f t="shared" ca="1" si="444"/>
        <v>-3.0068935414334987</v>
      </c>
      <c r="F969" s="304">
        <f t="shared" ca="1" si="445"/>
        <v>3.0966266486249054</v>
      </c>
      <c r="G969" s="306">
        <f t="shared" ca="1" si="446"/>
        <v>13.41971164602783</v>
      </c>
      <c r="H969" s="307">
        <f t="shared" ca="1" si="447"/>
        <v>-123.36369212567865</v>
      </c>
      <c r="I969" s="304">
        <f t="shared" ca="1" si="448"/>
        <v>124.09145496585074</v>
      </c>
      <c r="J969" s="306">
        <f t="shared" ca="1" si="449"/>
        <v>764.67878961306644</v>
      </c>
      <c r="K969" s="307">
        <f t="shared" ca="1" si="450"/>
        <v>-9.302650162905401</v>
      </c>
      <c r="L969" s="304">
        <f t="shared" ca="1" si="435"/>
        <v>764.73537291285129</v>
      </c>
      <c r="M969" s="306">
        <f t="shared" ca="1" si="451"/>
        <v>-1.462440697675887</v>
      </c>
      <c r="N969" s="304">
        <f t="shared" ca="1" si="452"/>
        <v>-83.791679764995905</v>
      </c>
      <c r="P969" s="310">
        <f t="shared" ca="1" si="453"/>
        <v>23</v>
      </c>
      <c r="Q969" s="304">
        <f t="shared" ca="1" si="454"/>
        <v>0</v>
      </c>
      <c r="R969" s="306">
        <f t="shared" ca="1" si="455"/>
        <v>0</v>
      </c>
      <c r="S969" s="307">
        <f t="shared" ca="1" si="456"/>
        <v>8.5499999999999989</v>
      </c>
      <c r="T969" s="304">
        <f t="shared" ca="1" si="436"/>
        <v>83.875499999999988</v>
      </c>
      <c r="U969" s="311">
        <f t="shared" ca="1" si="437"/>
        <v>0</v>
      </c>
      <c r="V969" s="306">
        <f t="shared" ca="1" si="438"/>
        <v>1.2261401049448286</v>
      </c>
      <c r="W969" s="304">
        <f t="shared" ca="1" si="439"/>
        <v>58.5100557830959</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2.9092252457057359</v>
      </c>
      <c r="AH969" s="304">
        <f t="shared" ca="1" si="463"/>
        <v>-6.8432408490457703</v>
      </c>
    </row>
    <row r="970" spans="1:34" x14ac:dyDescent="0.3">
      <c r="A970" s="347">
        <f t="shared" ca="1" si="441"/>
        <v>1E-4</v>
      </c>
      <c r="B970" s="304">
        <f t="shared" ca="1" si="442"/>
        <v>33.145500000001711</v>
      </c>
      <c r="D970" s="306">
        <f t="shared" ca="1" si="443"/>
        <v>-0.74005790997084764</v>
      </c>
      <c r="E970" s="307">
        <f t="shared" ca="1" si="444"/>
        <v>-3.0068526173332444</v>
      </c>
      <c r="F970" s="304">
        <f t="shared" ca="1" si="445"/>
        <v>3.0965865678960443</v>
      </c>
      <c r="G970" s="306">
        <f t="shared" ca="1" si="446"/>
        <v>13.419637640236832</v>
      </c>
      <c r="H970" s="307">
        <f t="shared" ca="1" si="447"/>
        <v>-123.36399281094039</v>
      </c>
      <c r="I970" s="304">
        <f t="shared" ca="1" si="448"/>
        <v>124.09174588445846</v>
      </c>
      <c r="J970" s="306">
        <f t="shared" ca="1" si="449"/>
        <v>764.67878961306644</v>
      </c>
      <c r="K970" s="307">
        <f t="shared" ca="1" si="450"/>
        <v>-9.3149865471522322</v>
      </c>
      <c r="L970" s="304">
        <f t="shared" ca="1" si="435"/>
        <v>764.73552307871637</v>
      </c>
      <c r="M970" s="306">
        <f t="shared" ca="1" si="451"/>
        <v>-1.4624415525997116</v>
      </c>
      <c r="N970" s="304">
        <f t="shared" ca="1" si="452"/>
        <v>-83.791728748522857</v>
      </c>
      <c r="P970" s="310">
        <f t="shared" ca="1" si="453"/>
        <v>23</v>
      </c>
      <c r="Q970" s="304">
        <f t="shared" ca="1" si="454"/>
        <v>0</v>
      </c>
      <c r="R970" s="306">
        <f t="shared" ca="1" si="455"/>
        <v>0</v>
      </c>
      <c r="S970" s="307">
        <f t="shared" ca="1" si="456"/>
        <v>8.5499999999999989</v>
      </c>
      <c r="T970" s="304">
        <f t="shared" ca="1" si="436"/>
        <v>83.875499999999988</v>
      </c>
      <c r="U970" s="311">
        <f t="shared" ca="1" si="437"/>
        <v>0</v>
      </c>
      <c r="V970" s="306">
        <f t="shared" ca="1" si="438"/>
        <v>1.2261416175596367</v>
      </c>
      <c r="W970" s="304">
        <f t="shared" ca="1" si="439"/>
        <v>58.510402304699106</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2.9091856236045022</v>
      </c>
      <c r="AH970" s="304">
        <f t="shared" ca="1" si="463"/>
        <v>-6.8432813781398725</v>
      </c>
    </row>
    <row r="971" spans="1:34" x14ac:dyDescent="0.3">
      <c r="A971" s="347">
        <f t="shared" ca="1" si="441"/>
        <v>1E-4</v>
      </c>
      <c r="B971" s="304">
        <f t="shared" ca="1" si="442"/>
        <v>33.145600000001714</v>
      </c>
      <c r="D971" s="306">
        <f t="shared" ca="1" si="443"/>
        <v>-0.74005647670317243</v>
      </c>
      <c r="E971" s="307">
        <f t="shared" ca="1" si="444"/>
        <v>-3.0068116934870694</v>
      </c>
      <c r="F971" s="304">
        <f t="shared" ca="1" si="445"/>
        <v>3.0965464874277102</v>
      </c>
      <c r="G971" s="306">
        <f t="shared" ca="1" si="446"/>
        <v>13.419563634589162</v>
      </c>
      <c r="H971" s="307">
        <f t="shared" ca="1" si="447"/>
        <v>-123.36429349210974</v>
      </c>
      <c r="I971" s="304">
        <f t="shared" ca="1" si="448"/>
        <v>124.09203679910398</v>
      </c>
      <c r="J971" s="306">
        <f t="shared" ca="1" si="449"/>
        <v>764.67878961306644</v>
      </c>
      <c r="K971" s="307">
        <f t="shared" ca="1" si="450"/>
        <v>-9.3273229614673845</v>
      </c>
      <c r="L971" s="304">
        <f t="shared" ca="1" si="435"/>
        <v>764.73567344392393</v>
      </c>
      <c r="M971" s="306">
        <f t="shared" ca="1" si="451"/>
        <v>-1.4624424075148132</v>
      </c>
      <c r="N971" s="304">
        <f t="shared" ca="1" si="452"/>
        <v>-83.791777731550027</v>
      </c>
      <c r="P971" s="310">
        <f t="shared" ca="1" si="453"/>
        <v>23</v>
      </c>
      <c r="Q971" s="304">
        <f t="shared" ca="1" si="454"/>
        <v>0</v>
      </c>
      <c r="R971" s="306">
        <f t="shared" ca="1" si="455"/>
        <v>0</v>
      </c>
      <c r="S971" s="307">
        <f t="shared" ca="1" si="456"/>
        <v>8.5499999999999989</v>
      </c>
      <c r="T971" s="304">
        <f t="shared" ca="1" si="436"/>
        <v>83.875499999999988</v>
      </c>
      <c r="U971" s="311">
        <f t="shared" ca="1" si="437"/>
        <v>0</v>
      </c>
      <c r="V971" s="306">
        <f t="shared" ca="1" si="438"/>
        <v>1.2261431301799985</v>
      </c>
      <c r="W971" s="304">
        <f t="shared" ca="1" si="439"/>
        <v>58.510748824150937</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2.9091460017385105</v>
      </c>
      <c r="AH971" s="304">
        <f t="shared" ca="1" si="463"/>
        <v>-6.8433219069823528</v>
      </c>
    </row>
    <row r="972" spans="1:34" x14ac:dyDescent="0.3">
      <c r="A972" s="347">
        <f t="shared" ca="1" si="441"/>
        <v>1E-4</v>
      </c>
      <c r="B972" s="304">
        <f t="shared" ca="1" si="442"/>
        <v>33.145700000001717</v>
      </c>
      <c r="D972" s="306">
        <f t="shared" ca="1" si="443"/>
        <v>-0.7400550433981985</v>
      </c>
      <c r="E972" s="307">
        <f t="shared" ca="1" si="444"/>
        <v>-3.0067707698949775</v>
      </c>
      <c r="F972" s="304">
        <f t="shared" ca="1" si="445"/>
        <v>3.0965064072199082</v>
      </c>
      <c r="G972" s="306">
        <f t="shared" ca="1" si="446"/>
        <v>13.419489629084822</v>
      </c>
      <c r="H972" s="307">
        <f t="shared" ca="1" si="447"/>
        <v>-123.36459416918673</v>
      </c>
      <c r="I972" s="304">
        <f t="shared" ca="1" si="448"/>
        <v>124.09232770978736</v>
      </c>
      <c r="J972" s="306">
        <f t="shared" ca="1" si="449"/>
        <v>764.67878961306644</v>
      </c>
      <c r="K972" s="307">
        <f t="shared" ca="1" si="450"/>
        <v>-9.3396594058504494</v>
      </c>
      <c r="L972" s="304">
        <f t="shared" ca="1" si="435"/>
        <v>764.73582400847533</v>
      </c>
      <c r="M972" s="306">
        <f t="shared" ca="1" si="451"/>
        <v>-1.4624432624211918</v>
      </c>
      <c r="N972" s="304">
        <f t="shared" ca="1" si="452"/>
        <v>-83.791826714077402</v>
      </c>
      <c r="P972" s="310">
        <f t="shared" ca="1" si="453"/>
        <v>23</v>
      </c>
      <c r="Q972" s="304">
        <f t="shared" ca="1" si="454"/>
        <v>0</v>
      </c>
      <c r="R972" s="306">
        <f t="shared" ca="1" si="455"/>
        <v>0</v>
      </c>
      <c r="S972" s="307">
        <f t="shared" ca="1" si="456"/>
        <v>8.5499999999999989</v>
      </c>
      <c r="T972" s="304">
        <f t="shared" ca="1" si="436"/>
        <v>83.875499999999988</v>
      </c>
      <c r="U972" s="311">
        <f t="shared" ca="1" si="437"/>
        <v>0</v>
      </c>
      <c r="V972" s="306">
        <f t="shared" ca="1" si="438"/>
        <v>1.2261446428059142</v>
      </c>
      <c r="W972" s="304">
        <f t="shared" ca="1" si="439"/>
        <v>58.511095341451409</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2.9091063801077572</v>
      </c>
      <c r="AH972" s="304">
        <f t="shared" ca="1" si="463"/>
        <v>-6.8433624355732094</v>
      </c>
    </row>
    <row r="973" spans="1:34" x14ac:dyDescent="0.3">
      <c r="A973" s="347">
        <f t="shared" ca="1" si="441"/>
        <v>1E-4</v>
      </c>
      <c r="B973" s="304">
        <f t="shared" ca="1" si="442"/>
        <v>33.145800000001721</v>
      </c>
      <c r="D973" s="306">
        <f t="shared" ca="1" si="443"/>
        <v>-0.74005361005592751</v>
      </c>
      <c r="E973" s="307">
        <f t="shared" ca="1" si="444"/>
        <v>-3.0067298465569641</v>
      </c>
      <c r="F973" s="304">
        <f t="shared" ca="1" si="445"/>
        <v>3.0964663272726343</v>
      </c>
      <c r="G973" s="306">
        <f t="shared" ca="1" si="446"/>
        <v>13.419415623723816</v>
      </c>
      <c r="H973" s="307">
        <f t="shared" ca="1" si="447"/>
        <v>-123.36489484217138</v>
      </c>
      <c r="I973" s="304">
        <f t="shared" ca="1" si="448"/>
        <v>124.09261861650856</v>
      </c>
      <c r="J973" s="306">
        <f t="shared" ca="1" si="449"/>
        <v>764.67878961306644</v>
      </c>
      <c r="K973" s="307">
        <f t="shared" ca="1" si="450"/>
        <v>-9.3519958803010166</v>
      </c>
      <c r="L973" s="304">
        <f t="shared" ca="1" si="435"/>
        <v>764.73597477237172</v>
      </c>
      <c r="M973" s="306">
        <f t="shared" ca="1" si="451"/>
        <v>-1.4624441173188474</v>
      </c>
      <c r="N973" s="304">
        <f t="shared" ca="1" si="452"/>
        <v>-83.791875696104981</v>
      </c>
      <c r="P973" s="310">
        <f t="shared" ca="1" si="453"/>
        <v>23</v>
      </c>
      <c r="Q973" s="304">
        <f t="shared" ca="1" si="454"/>
        <v>0</v>
      </c>
      <c r="R973" s="306">
        <f t="shared" ca="1" si="455"/>
        <v>0</v>
      </c>
      <c r="S973" s="307">
        <f t="shared" ca="1" si="456"/>
        <v>8.5499999999999989</v>
      </c>
      <c r="T973" s="304">
        <f t="shared" ca="1" si="436"/>
        <v>83.875499999999988</v>
      </c>
      <c r="U973" s="311">
        <f t="shared" ca="1" si="437"/>
        <v>0</v>
      </c>
      <c r="V973" s="306">
        <f t="shared" ca="1" si="438"/>
        <v>1.2261461554373834</v>
      </c>
      <c r="W973" s="304">
        <f t="shared" ca="1" si="439"/>
        <v>58.511441856600442</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2.9090667587122425</v>
      </c>
      <c r="AH973" s="304">
        <f t="shared" ca="1" si="463"/>
        <v>-6.8434029639124461</v>
      </c>
    </row>
    <row r="974" spans="1:34" x14ac:dyDescent="0.3">
      <c r="A974" s="347">
        <f t="shared" ca="1" si="441"/>
        <v>1E-4</v>
      </c>
      <c r="B974" s="304">
        <f t="shared" ca="1" si="442"/>
        <v>33.145900000001724</v>
      </c>
      <c r="D974" s="306">
        <f t="shared" ca="1" si="443"/>
        <v>-0.74005217667636025</v>
      </c>
      <c r="E974" s="307">
        <f t="shared" ca="1" si="444"/>
        <v>-3.0066889234730381</v>
      </c>
      <c r="F974" s="304">
        <f t="shared" ca="1" si="445"/>
        <v>3.0964262475858964</v>
      </c>
      <c r="G974" s="306">
        <f t="shared" ca="1" si="446"/>
        <v>13.419341618506149</v>
      </c>
      <c r="H974" s="307">
        <f t="shared" ca="1" si="447"/>
        <v>-123.36519551106373</v>
      </c>
      <c r="I974" s="304">
        <f t="shared" ca="1" si="448"/>
        <v>124.09290951926766</v>
      </c>
      <c r="J974" s="306">
        <f t="shared" ca="1" si="449"/>
        <v>764.67878961306644</v>
      </c>
      <c r="K974" s="307">
        <f t="shared" ca="1" si="450"/>
        <v>-9.3643323848186775</v>
      </c>
      <c r="L974" s="304">
        <f t="shared" ca="1" si="435"/>
        <v>764.73612573561456</v>
      </c>
      <c r="M974" s="306">
        <f t="shared" ca="1" si="451"/>
        <v>-1.4624449722077804</v>
      </c>
      <c r="N974" s="304">
        <f t="shared" ca="1" si="452"/>
        <v>-83.791924677632792</v>
      </c>
      <c r="P974" s="310">
        <f t="shared" ca="1" si="453"/>
        <v>23</v>
      </c>
      <c r="Q974" s="304">
        <f t="shared" ca="1" si="454"/>
        <v>0</v>
      </c>
      <c r="R974" s="306">
        <f t="shared" ca="1" si="455"/>
        <v>0</v>
      </c>
      <c r="S974" s="307">
        <f t="shared" ca="1" si="456"/>
        <v>8.5499999999999989</v>
      </c>
      <c r="T974" s="304">
        <f t="shared" ca="1" si="436"/>
        <v>83.875499999999988</v>
      </c>
      <c r="U974" s="311">
        <f t="shared" ca="1" si="437"/>
        <v>0</v>
      </c>
      <c r="V974" s="306">
        <f t="shared" ca="1" si="438"/>
        <v>1.2261476680744063</v>
      </c>
      <c r="W974" s="304">
        <f t="shared" ca="1" si="439"/>
        <v>58.511788369598086</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2.9090271375519778</v>
      </c>
      <c r="AH974" s="304">
        <f t="shared" ca="1" si="463"/>
        <v>-6.8434434920000529</v>
      </c>
    </row>
    <row r="975" spans="1:34" x14ac:dyDescent="0.3">
      <c r="A975" s="347">
        <f t="shared" ca="1" si="441"/>
        <v>1E-4</v>
      </c>
      <c r="B975" s="304">
        <f t="shared" ca="1" si="442"/>
        <v>33.146000000001727</v>
      </c>
      <c r="D975" s="306">
        <f t="shared" ca="1" si="443"/>
        <v>-0.74005074325949594</v>
      </c>
      <c r="E975" s="307">
        <f t="shared" ca="1" si="444"/>
        <v>-3.0066480006431959</v>
      </c>
      <c r="F975" s="304">
        <f t="shared" ca="1" si="445"/>
        <v>3.0963861681596918</v>
      </c>
      <c r="G975" s="306">
        <f t="shared" ca="1" si="446"/>
        <v>13.419267613431822</v>
      </c>
      <c r="H975" s="307">
        <f t="shared" ca="1" si="447"/>
        <v>-123.3654961758638</v>
      </c>
      <c r="I975" s="304">
        <f t="shared" ca="1" si="448"/>
        <v>124.09320041806467</v>
      </c>
      <c r="J975" s="306">
        <f t="shared" ca="1" si="449"/>
        <v>764.67878961306644</v>
      </c>
      <c r="K975" s="307">
        <f t="shared" ca="1" si="450"/>
        <v>-9.3766689194030235</v>
      </c>
      <c r="L975" s="304">
        <f t="shared" ca="1" si="435"/>
        <v>764.73627689820523</v>
      </c>
      <c r="M975" s="306">
        <f t="shared" ca="1" si="451"/>
        <v>-1.4624458270879908</v>
      </c>
      <c r="N975" s="304">
        <f t="shared" ca="1" si="452"/>
        <v>-83.791973658660837</v>
      </c>
      <c r="P975" s="310">
        <f t="shared" ca="1" si="453"/>
        <v>23</v>
      </c>
      <c r="Q975" s="304">
        <f t="shared" ca="1" si="454"/>
        <v>0</v>
      </c>
      <c r="R975" s="306">
        <f t="shared" ca="1" si="455"/>
        <v>0</v>
      </c>
      <c r="S975" s="307">
        <f t="shared" ca="1" si="456"/>
        <v>8.5499999999999989</v>
      </c>
      <c r="T975" s="304">
        <f t="shared" ca="1" si="436"/>
        <v>83.875499999999988</v>
      </c>
      <c r="U975" s="311">
        <f t="shared" ca="1" si="437"/>
        <v>0</v>
      </c>
      <c r="V975" s="306">
        <f t="shared" ca="1" si="438"/>
        <v>1.2261491807169824</v>
      </c>
      <c r="W975" s="304">
        <f t="shared" ca="1" si="439"/>
        <v>58.512134880444272</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2.908987516626957</v>
      </c>
      <c r="AH975" s="304">
        <f t="shared" ca="1" si="463"/>
        <v>-6.8434840198360343</v>
      </c>
    </row>
    <row r="976" spans="1:34" x14ac:dyDescent="0.3">
      <c r="A976" s="347">
        <f t="shared" ca="1" si="441"/>
        <v>1E-4</v>
      </c>
      <c r="B976" s="304">
        <f t="shared" ca="1" si="442"/>
        <v>33.146100000001731</v>
      </c>
      <c r="D976" s="306">
        <f t="shared" ca="1" si="443"/>
        <v>-0.74004930980533545</v>
      </c>
      <c r="E976" s="307">
        <f t="shared" ca="1" si="444"/>
        <v>-3.0066070780674439</v>
      </c>
      <c r="F976" s="304">
        <f t="shared" ca="1" si="445"/>
        <v>3.0963460889940269</v>
      </c>
      <c r="G976" s="306">
        <f t="shared" ca="1" si="446"/>
        <v>13.419193608500843</v>
      </c>
      <c r="H976" s="307">
        <f t="shared" ca="1" si="447"/>
        <v>-123.3657968365716</v>
      </c>
      <c r="I976" s="304">
        <f t="shared" ca="1" si="448"/>
        <v>124.0934913128996</v>
      </c>
      <c r="J976" s="306">
        <f t="shared" ca="1" si="449"/>
        <v>764.67878961306644</v>
      </c>
      <c r="K976" s="307">
        <f t="shared" ca="1" si="450"/>
        <v>-9.3890054840536461</v>
      </c>
      <c r="L976" s="304">
        <f t="shared" ca="1" si="435"/>
        <v>764.73642826014509</v>
      </c>
      <c r="M976" s="306">
        <f t="shared" ca="1" si="451"/>
        <v>-1.4624466819594786</v>
      </c>
      <c r="N976" s="304">
        <f t="shared" ca="1" si="452"/>
        <v>-83.792022639189113</v>
      </c>
      <c r="P976" s="310">
        <f t="shared" ca="1" si="453"/>
        <v>23</v>
      </c>
      <c r="Q976" s="304">
        <f t="shared" ca="1" si="454"/>
        <v>0</v>
      </c>
      <c r="R976" s="306">
        <f t="shared" ca="1" si="455"/>
        <v>0</v>
      </c>
      <c r="S976" s="307">
        <f t="shared" ca="1" si="456"/>
        <v>8.5499999999999989</v>
      </c>
      <c r="T976" s="304">
        <f t="shared" ca="1" si="436"/>
        <v>83.875499999999988</v>
      </c>
      <c r="U976" s="311">
        <f t="shared" ca="1" si="437"/>
        <v>0</v>
      </c>
      <c r="V976" s="306">
        <f t="shared" ca="1" si="438"/>
        <v>1.2261506933651121</v>
      </c>
      <c r="W976" s="304">
        <f t="shared" ca="1" si="439"/>
        <v>58.512481389139033</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2.9089478959371871</v>
      </c>
      <c r="AH976" s="304">
        <f t="shared" ca="1" si="463"/>
        <v>-6.8435245474203832</v>
      </c>
    </row>
    <row r="977" spans="1:34" x14ac:dyDescent="0.3">
      <c r="A977" s="347">
        <f t="shared" ca="1" si="441"/>
        <v>1E-4</v>
      </c>
      <c r="B977" s="304">
        <f t="shared" ca="1" si="442"/>
        <v>33.146200000001734</v>
      </c>
      <c r="D977" s="306">
        <f t="shared" ca="1" si="443"/>
        <v>-0.74004787631388103</v>
      </c>
      <c r="E977" s="307">
        <f t="shared" ca="1" si="444"/>
        <v>-3.0065661557457792</v>
      </c>
      <c r="F977" s="304">
        <f t="shared" ca="1" si="445"/>
        <v>3.0963060100888993</v>
      </c>
      <c r="G977" s="306">
        <f t="shared" ca="1" si="446"/>
        <v>13.419119603713211</v>
      </c>
      <c r="H977" s="307">
        <f t="shared" ca="1" si="447"/>
        <v>-123.36609749318718</v>
      </c>
      <c r="I977" s="304">
        <f t="shared" ca="1" si="448"/>
        <v>124.09378220377251</v>
      </c>
      <c r="J977" s="306">
        <f t="shared" ca="1" si="449"/>
        <v>764.67878961306644</v>
      </c>
      <c r="K977" s="307">
        <f t="shared" ca="1" si="450"/>
        <v>-9.4013420787701332</v>
      </c>
      <c r="L977" s="304">
        <f t="shared" ca="1" si="435"/>
        <v>764.73657982143527</v>
      </c>
      <c r="M977" s="306">
        <f t="shared" ca="1" si="451"/>
        <v>-1.462447536822244</v>
      </c>
      <c r="N977" s="304">
        <f t="shared" ca="1" si="452"/>
        <v>-83.792071619217637</v>
      </c>
      <c r="P977" s="310">
        <f t="shared" ca="1" si="453"/>
        <v>23</v>
      </c>
      <c r="Q977" s="304">
        <f t="shared" ca="1" si="454"/>
        <v>0</v>
      </c>
      <c r="R977" s="306">
        <f t="shared" ca="1" si="455"/>
        <v>0</v>
      </c>
      <c r="S977" s="307">
        <f t="shared" ca="1" si="456"/>
        <v>8.5499999999999989</v>
      </c>
      <c r="T977" s="304">
        <f t="shared" ca="1" si="436"/>
        <v>83.875499999999988</v>
      </c>
      <c r="U977" s="311">
        <f t="shared" ca="1" si="437"/>
        <v>0</v>
      </c>
      <c r="V977" s="306">
        <f t="shared" ca="1" si="438"/>
        <v>1.2261522060187959</v>
      </c>
      <c r="W977" s="304">
        <f t="shared" ca="1" si="439"/>
        <v>58.512827895682385</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2.9089082754826654</v>
      </c>
      <c r="AH977" s="304">
        <f t="shared" ca="1" si="463"/>
        <v>-6.843565074753104</v>
      </c>
    </row>
    <row r="978" spans="1:34" x14ac:dyDescent="0.3">
      <c r="A978" s="347">
        <f t="shared" ca="1" si="441"/>
        <v>1E-4</v>
      </c>
      <c r="B978" s="304">
        <f t="shared" ca="1" si="442"/>
        <v>33.146300000001737</v>
      </c>
      <c r="D978" s="306">
        <f t="shared" ca="1" si="443"/>
        <v>-0.74004644278513287</v>
      </c>
      <c r="E978" s="307">
        <f t="shared" ca="1" si="444"/>
        <v>-3.0065252336781993</v>
      </c>
      <c r="F978" s="304">
        <f t="shared" ca="1" si="445"/>
        <v>3.0962659314443068</v>
      </c>
      <c r="G978" s="306">
        <f t="shared" ca="1" si="446"/>
        <v>13.419045599068932</v>
      </c>
      <c r="H978" s="307">
        <f t="shared" ca="1" si="447"/>
        <v>-123.36639814571055</v>
      </c>
      <c r="I978" s="304">
        <f t="shared" ca="1" si="448"/>
        <v>124.09407309068338</v>
      </c>
      <c r="J978" s="306">
        <f t="shared" ca="1" si="449"/>
        <v>764.67878961306644</v>
      </c>
      <c r="K978" s="307">
        <f t="shared" ca="1" si="450"/>
        <v>-9.4136787035520779</v>
      </c>
      <c r="L978" s="304">
        <f t="shared" ca="1" si="435"/>
        <v>764.73673158207725</v>
      </c>
      <c r="M978" s="306">
        <f t="shared" ca="1" si="451"/>
        <v>-1.4624483916762874</v>
      </c>
      <c r="N978" s="304">
        <f t="shared" ca="1" si="452"/>
        <v>-83.792120598746422</v>
      </c>
      <c r="P978" s="310">
        <f t="shared" ca="1" si="453"/>
        <v>23</v>
      </c>
      <c r="Q978" s="304">
        <f t="shared" ca="1" si="454"/>
        <v>0</v>
      </c>
      <c r="R978" s="306">
        <f t="shared" ca="1" si="455"/>
        <v>0</v>
      </c>
      <c r="S978" s="307">
        <f t="shared" ca="1" si="456"/>
        <v>8.5499999999999989</v>
      </c>
      <c r="T978" s="304">
        <f t="shared" ca="1" si="436"/>
        <v>83.875499999999988</v>
      </c>
      <c r="U978" s="311">
        <f t="shared" ca="1" si="437"/>
        <v>0</v>
      </c>
      <c r="V978" s="306">
        <f t="shared" ca="1" si="438"/>
        <v>1.2261537186780329</v>
      </c>
      <c r="W978" s="304">
        <f t="shared" ca="1" si="439"/>
        <v>58.513174400074256</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2.9088686552633911</v>
      </c>
      <c r="AH978" s="304">
        <f t="shared" ca="1" si="463"/>
        <v>-6.8436056018341977</v>
      </c>
    </row>
    <row r="979" spans="1:34" x14ac:dyDescent="0.3">
      <c r="A979" s="347">
        <f t="shared" ca="1" si="441"/>
        <v>1E-4</v>
      </c>
      <c r="B979" s="304">
        <f t="shared" ca="1" si="442"/>
        <v>33.146400000001741</v>
      </c>
      <c r="D979" s="306">
        <f t="shared" ca="1" si="443"/>
        <v>-0.74004500921909044</v>
      </c>
      <c r="E979" s="307">
        <f t="shared" ca="1" si="444"/>
        <v>-3.0064843118647131</v>
      </c>
      <c r="F979" s="304">
        <f t="shared" ca="1" si="445"/>
        <v>3.096225853060258</v>
      </c>
      <c r="G979" s="306">
        <f t="shared" ca="1" si="446"/>
        <v>13.41897159456801</v>
      </c>
      <c r="H979" s="307">
        <f t="shared" ca="1" si="447"/>
        <v>-123.36669879414174</v>
      </c>
      <c r="I979" s="304">
        <f t="shared" ca="1" si="448"/>
        <v>124.09436397363224</v>
      </c>
      <c r="J979" s="306">
        <f t="shared" ca="1" si="449"/>
        <v>764.67878961306644</v>
      </c>
      <c r="K979" s="307">
        <f t="shared" ca="1" si="450"/>
        <v>-9.42601535839907</v>
      </c>
      <c r="L979" s="304">
        <f t="shared" ca="1" si="435"/>
        <v>764.73688354207229</v>
      </c>
      <c r="M979" s="306">
        <f t="shared" ca="1" si="451"/>
        <v>-1.4624492465216088</v>
      </c>
      <c r="N979" s="304">
        <f t="shared" ca="1" si="452"/>
        <v>-83.792169577775468</v>
      </c>
      <c r="P979" s="310">
        <f t="shared" ca="1" si="453"/>
        <v>23</v>
      </c>
      <c r="Q979" s="304">
        <f t="shared" ca="1" si="454"/>
        <v>0</v>
      </c>
      <c r="R979" s="306">
        <f t="shared" ca="1" si="455"/>
        <v>0</v>
      </c>
      <c r="S979" s="307">
        <f t="shared" ca="1" si="456"/>
        <v>8.5499999999999989</v>
      </c>
      <c r="T979" s="304">
        <f t="shared" ca="1" si="436"/>
        <v>83.875499999999988</v>
      </c>
      <c r="U979" s="311">
        <f t="shared" ca="1" si="437"/>
        <v>0</v>
      </c>
      <c r="V979" s="306">
        <f t="shared" ca="1" si="438"/>
        <v>1.2261552313428232</v>
      </c>
      <c r="W979" s="304">
        <f t="shared" ca="1" si="439"/>
        <v>58.513520902314617</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2.9088290352793722</v>
      </c>
      <c r="AH979" s="304">
        <f t="shared" ca="1" si="463"/>
        <v>-6.8436461286636563</v>
      </c>
    </row>
    <row r="980" spans="1:34" x14ac:dyDescent="0.3">
      <c r="A980" s="347">
        <f t="shared" ca="1" si="441"/>
        <v>1E-4</v>
      </c>
      <c r="B980" s="304">
        <f t="shared" ca="1" si="442"/>
        <v>33.146500000001744</v>
      </c>
      <c r="D980" s="306">
        <f t="shared" ca="1" si="443"/>
        <v>-0.74004357561575351</v>
      </c>
      <c r="E980" s="307">
        <f t="shared" ca="1" si="444"/>
        <v>-3.0064433903053231</v>
      </c>
      <c r="F980" s="304">
        <f t="shared" ca="1" si="445"/>
        <v>3.096185774936755</v>
      </c>
      <c r="G980" s="306">
        <f t="shared" ca="1" si="446"/>
        <v>13.418897590210449</v>
      </c>
      <c r="H980" s="307">
        <f t="shared" ca="1" si="447"/>
        <v>-123.36699943848078</v>
      </c>
      <c r="I980" s="304">
        <f t="shared" ca="1" si="448"/>
        <v>124.09465485261914</v>
      </c>
      <c r="J980" s="306">
        <f t="shared" ca="1" si="449"/>
        <v>764.67878961306644</v>
      </c>
      <c r="K980" s="307">
        <f t="shared" ca="1" si="450"/>
        <v>-9.4383520433107009</v>
      </c>
      <c r="L980" s="304">
        <f t="shared" ca="1" si="435"/>
        <v>764.73703570142186</v>
      </c>
      <c r="M980" s="306">
        <f t="shared" ca="1" si="451"/>
        <v>-1.4624501013582083</v>
      </c>
      <c r="N980" s="304">
        <f t="shared" ca="1" si="452"/>
        <v>-83.792218556304803</v>
      </c>
      <c r="P980" s="310">
        <f t="shared" ca="1" si="453"/>
        <v>23</v>
      </c>
      <c r="Q980" s="304">
        <f t="shared" ca="1" si="454"/>
        <v>0</v>
      </c>
      <c r="R980" s="306">
        <f t="shared" ca="1" si="455"/>
        <v>0</v>
      </c>
      <c r="S980" s="307">
        <f t="shared" ca="1" si="456"/>
        <v>8.5499999999999989</v>
      </c>
      <c r="T980" s="304">
        <f t="shared" ca="1" si="436"/>
        <v>83.875499999999988</v>
      </c>
      <c r="U980" s="311">
        <f t="shared" ca="1" si="437"/>
        <v>0</v>
      </c>
      <c r="V980" s="306">
        <f t="shared" ca="1" si="438"/>
        <v>1.2261567440131667</v>
      </c>
      <c r="W980" s="304">
        <f t="shared" ca="1" si="439"/>
        <v>58.513867402403498</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2.9087894155306131</v>
      </c>
      <c r="AH980" s="304">
        <f t="shared" ca="1" si="463"/>
        <v>-6.843686655241477</v>
      </c>
    </row>
    <row r="981" spans="1:34" x14ac:dyDescent="0.3">
      <c r="A981" s="347">
        <f t="shared" ca="1" si="441"/>
        <v>1E-4</v>
      </c>
      <c r="B981" s="304">
        <f t="shared" ca="1" si="442"/>
        <v>33.146600000001747</v>
      </c>
      <c r="D981" s="306">
        <f t="shared" ca="1" si="443"/>
        <v>-0.74004214197512397</v>
      </c>
      <c r="E981" s="307">
        <f t="shared" ca="1" si="444"/>
        <v>-3.0064024690000286</v>
      </c>
      <c r="F981" s="304">
        <f t="shared" ca="1" si="445"/>
        <v>3.0961456970737986</v>
      </c>
      <c r="G981" s="306">
        <f t="shared" ca="1" si="446"/>
        <v>13.418823585996252</v>
      </c>
      <c r="H981" s="307">
        <f t="shared" ca="1" si="447"/>
        <v>-123.36730007872768</v>
      </c>
      <c r="I981" s="304">
        <f t="shared" ca="1" si="448"/>
        <v>124.09494572764409</v>
      </c>
      <c r="J981" s="306">
        <f t="shared" ca="1" si="449"/>
        <v>764.67878961306644</v>
      </c>
      <c r="K981" s="307">
        <f t="shared" ca="1" si="450"/>
        <v>-9.450688758286562</v>
      </c>
      <c r="L981" s="304">
        <f t="shared" ca="1" si="435"/>
        <v>764.73718806012721</v>
      </c>
      <c r="M981" s="306">
        <f t="shared" ca="1" si="451"/>
        <v>-1.4624509561860859</v>
      </c>
      <c r="N981" s="304">
        <f t="shared" ca="1" si="452"/>
        <v>-83.7922675343344</v>
      </c>
      <c r="P981" s="310">
        <f t="shared" ca="1" si="453"/>
        <v>23</v>
      </c>
      <c r="Q981" s="304">
        <f t="shared" ca="1" si="454"/>
        <v>0</v>
      </c>
      <c r="R981" s="306">
        <f t="shared" ca="1" si="455"/>
        <v>0</v>
      </c>
      <c r="S981" s="307">
        <f t="shared" ca="1" si="456"/>
        <v>8.5499999999999989</v>
      </c>
      <c r="T981" s="304">
        <f t="shared" ca="1" si="436"/>
        <v>83.875499999999988</v>
      </c>
      <c r="U981" s="311">
        <f t="shared" ca="1" si="437"/>
        <v>0</v>
      </c>
      <c r="V981" s="306">
        <f t="shared" ca="1" si="438"/>
        <v>1.2261582566890636</v>
      </c>
      <c r="W981" s="304">
        <f t="shared" ca="1" si="439"/>
        <v>58.51421390034087</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2.9087497960171067</v>
      </c>
      <c r="AH981" s="304">
        <f t="shared" ca="1" si="463"/>
        <v>-6.8437271815676617</v>
      </c>
    </row>
    <row r="982" spans="1:34" x14ac:dyDescent="0.3">
      <c r="A982" s="347">
        <f t="shared" ca="1" si="441"/>
        <v>1E-4</v>
      </c>
      <c r="B982" s="304">
        <f t="shared" ca="1" si="442"/>
        <v>33.146700000001751</v>
      </c>
      <c r="D982" s="306">
        <f t="shared" ca="1" si="443"/>
        <v>-0.74004070829720348</v>
      </c>
      <c r="E982" s="307">
        <f t="shared" ca="1" si="444"/>
        <v>-3.0063615479488295</v>
      </c>
      <c r="F982" s="304">
        <f t="shared" ca="1" si="445"/>
        <v>3.0961056194713881</v>
      </c>
      <c r="G982" s="306">
        <f t="shared" ca="1" si="446"/>
        <v>13.418749581925422</v>
      </c>
      <c r="H982" s="307">
        <f t="shared" ca="1" si="447"/>
        <v>-123.36760071488247</v>
      </c>
      <c r="I982" s="304">
        <f t="shared" ca="1" si="448"/>
        <v>124.0952365987071</v>
      </c>
      <c r="J982" s="306">
        <f t="shared" ca="1" si="449"/>
        <v>764.67878961306644</v>
      </c>
      <c r="K982" s="307">
        <f t="shared" ca="1" si="450"/>
        <v>-9.4630255033262429</v>
      </c>
      <c r="L982" s="304">
        <f t="shared" ca="1" si="435"/>
        <v>764.73734061818959</v>
      </c>
      <c r="M982" s="306">
        <f t="shared" ca="1" si="451"/>
        <v>-1.4624518110052418</v>
      </c>
      <c r="N982" s="304">
        <f t="shared" ca="1" si="452"/>
        <v>-83.792316511864271</v>
      </c>
      <c r="P982" s="310">
        <f t="shared" ca="1" si="453"/>
        <v>23</v>
      </c>
      <c r="Q982" s="304">
        <f t="shared" ca="1" si="454"/>
        <v>0</v>
      </c>
      <c r="R982" s="306">
        <f t="shared" ca="1" si="455"/>
        <v>0</v>
      </c>
      <c r="S982" s="307">
        <f t="shared" ca="1" si="456"/>
        <v>8.5499999999999989</v>
      </c>
      <c r="T982" s="304">
        <f t="shared" ca="1" si="436"/>
        <v>83.875499999999988</v>
      </c>
      <c r="U982" s="311">
        <f t="shared" ca="1" si="437"/>
        <v>0</v>
      </c>
      <c r="V982" s="306">
        <f t="shared" ca="1" si="438"/>
        <v>1.2261597693705142</v>
      </c>
      <c r="W982" s="304">
        <f t="shared" ca="1" si="439"/>
        <v>58.51456039612674</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2.9087101767388663</v>
      </c>
      <c r="AH982" s="304">
        <f t="shared" ca="1" si="463"/>
        <v>-6.8437677076422077</v>
      </c>
    </row>
    <row r="983" spans="1:34" x14ac:dyDescent="0.3">
      <c r="A983" s="347">
        <f t="shared" ca="1" si="441"/>
        <v>1E-4</v>
      </c>
      <c r="B983" s="304">
        <f t="shared" ca="1" si="442"/>
        <v>33.146800000001754</v>
      </c>
      <c r="D983" s="306">
        <f t="shared" ca="1" si="443"/>
        <v>-0.74003927458199203</v>
      </c>
      <c r="E983" s="307">
        <f t="shared" ca="1" si="444"/>
        <v>-3.0063206271517267</v>
      </c>
      <c r="F983" s="304">
        <f t="shared" ca="1" si="445"/>
        <v>3.0960655421295256</v>
      </c>
      <c r="G983" s="306">
        <f t="shared" ca="1" si="446"/>
        <v>13.418675577997963</v>
      </c>
      <c r="H983" s="307">
        <f t="shared" ca="1" si="447"/>
        <v>-123.36790134694519</v>
      </c>
      <c r="I983" s="304">
        <f t="shared" ca="1" si="448"/>
        <v>124.0955274658082</v>
      </c>
      <c r="J983" s="306">
        <f t="shared" ca="1" si="449"/>
        <v>764.67878961306644</v>
      </c>
      <c r="K983" s="307">
        <f t="shared" ca="1" si="450"/>
        <v>-9.4753622784293334</v>
      </c>
      <c r="L983" s="304">
        <f t="shared" ca="1" si="435"/>
        <v>764.73749337561037</v>
      </c>
      <c r="M983" s="306">
        <f t="shared" ca="1" si="451"/>
        <v>-1.4624526658156765</v>
      </c>
      <c r="N983" s="304">
        <f t="shared" ca="1" si="452"/>
        <v>-83.792365488894461</v>
      </c>
      <c r="P983" s="310">
        <f t="shared" ca="1" si="453"/>
        <v>23</v>
      </c>
      <c r="Q983" s="304">
        <f t="shared" ca="1" si="454"/>
        <v>0</v>
      </c>
      <c r="R983" s="306">
        <f t="shared" ca="1" si="455"/>
        <v>0</v>
      </c>
      <c r="S983" s="307">
        <f t="shared" ca="1" si="456"/>
        <v>8.5499999999999989</v>
      </c>
      <c r="T983" s="304">
        <f t="shared" ca="1" si="436"/>
        <v>83.875499999999988</v>
      </c>
      <c r="U983" s="311">
        <f t="shared" ca="1" si="437"/>
        <v>0</v>
      </c>
      <c r="V983" s="306">
        <f t="shared" ca="1" si="438"/>
        <v>1.2261612820575178</v>
      </c>
      <c r="W983" s="304">
        <f t="shared" ca="1" si="439"/>
        <v>58.51490688976105</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2.9086705576958813</v>
      </c>
      <c r="AH983" s="304">
        <f t="shared" ca="1" si="463"/>
        <v>-6.8438082334651167</v>
      </c>
    </row>
    <row r="984" spans="1:34" x14ac:dyDescent="0.3">
      <c r="A984" s="347">
        <f t="shared" ca="1" si="441"/>
        <v>1E-4</v>
      </c>
      <c r="B984" s="304">
        <f t="shared" ca="1" si="442"/>
        <v>33.146900000001757</v>
      </c>
      <c r="D984" s="306">
        <f t="shared" ca="1" si="443"/>
        <v>-0.74003784082948787</v>
      </c>
      <c r="E984" s="307">
        <f t="shared" ca="1" si="444"/>
        <v>-3.0062797066087272</v>
      </c>
      <c r="F984" s="304">
        <f t="shared" ca="1" si="445"/>
        <v>3.0960254650482164</v>
      </c>
      <c r="G984" s="306">
        <f t="shared" ca="1" si="446"/>
        <v>13.418601574213881</v>
      </c>
      <c r="H984" s="307">
        <f t="shared" ca="1" si="447"/>
        <v>-123.36820197491585</v>
      </c>
      <c r="I984" s="304">
        <f t="shared" ca="1" si="448"/>
        <v>124.09581832894743</v>
      </c>
      <c r="J984" s="306">
        <f t="shared" ca="1" si="449"/>
        <v>764.67878961306644</v>
      </c>
      <c r="K984" s="307">
        <f t="shared" ca="1" si="450"/>
        <v>-9.4876990835954267</v>
      </c>
      <c r="L984" s="304">
        <f t="shared" ca="1" si="435"/>
        <v>764.73764633239102</v>
      </c>
      <c r="M984" s="306">
        <f t="shared" ca="1" si="451"/>
        <v>-1.4624535206173896</v>
      </c>
      <c r="N984" s="304">
        <f t="shared" ca="1" si="452"/>
        <v>-83.792414465424955</v>
      </c>
      <c r="P984" s="310">
        <f t="shared" ca="1" si="453"/>
        <v>23</v>
      </c>
      <c r="Q984" s="304">
        <f t="shared" ca="1" si="454"/>
        <v>0</v>
      </c>
      <c r="R984" s="306">
        <f t="shared" ca="1" si="455"/>
        <v>0</v>
      </c>
      <c r="S984" s="307">
        <f t="shared" ca="1" si="456"/>
        <v>8.5499999999999989</v>
      </c>
      <c r="T984" s="304">
        <f t="shared" ca="1" si="436"/>
        <v>83.875499999999988</v>
      </c>
      <c r="U984" s="311">
        <f t="shared" ca="1" si="437"/>
        <v>0</v>
      </c>
      <c r="V984" s="306">
        <f t="shared" ca="1" si="438"/>
        <v>1.2261627947500746</v>
      </c>
      <c r="W984" s="304">
        <f t="shared" ca="1" si="439"/>
        <v>58.515253381243824</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2.9086309388881633</v>
      </c>
      <c r="AH984" s="304">
        <f t="shared" ca="1" si="463"/>
        <v>-6.8438487590363808</v>
      </c>
    </row>
    <row r="985" spans="1:34" x14ac:dyDescent="0.3">
      <c r="A985" s="347">
        <f t="shared" ca="1" si="441"/>
        <v>1E-4</v>
      </c>
      <c r="B985" s="304">
        <f t="shared" ca="1" si="442"/>
        <v>33.147000000001761</v>
      </c>
      <c r="D985" s="306">
        <f t="shared" ca="1" si="443"/>
        <v>-0.74003640703969431</v>
      </c>
      <c r="E985" s="307">
        <f t="shared" ca="1" si="444"/>
        <v>-3.0062387863198268</v>
      </c>
      <c r="F985" s="304">
        <f t="shared" ca="1" si="445"/>
        <v>3.0959853882274579</v>
      </c>
      <c r="G985" s="306">
        <f t="shared" ca="1" si="446"/>
        <v>13.418527570573177</v>
      </c>
      <c r="H985" s="307">
        <f t="shared" ca="1" si="447"/>
        <v>-123.36850259879448</v>
      </c>
      <c r="I985" s="304">
        <f t="shared" ca="1" si="448"/>
        <v>124.0961091881248</v>
      </c>
      <c r="J985" s="306">
        <f t="shared" ca="1" si="449"/>
        <v>764.67878961306644</v>
      </c>
      <c r="K985" s="307">
        <f t="shared" ca="1" si="450"/>
        <v>-9.5000359188241124</v>
      </c>
      <c r="L985" s="304">
        <f t="shared" ca="1" si="435"/>
        <v>764.73779948853269</v>
      </c>
      <c r="M985" s="306">
        <f t="shared" ca="1" si="451"/>
        <v>-1.4624543754103814</v>
      </c>
      <c r="N985" s="304">
        <f t="shared" ca="1" si="452"/>
        <v>-83.792463441455737</v>
      </c>
      <c r="P985" s="310">
        <f t="shared" ca="1" si="453"/>
        <v>23</v>
      </c>
      <c r="Q985" s="304">
        <f t="shared" ca="1" si="454"/>
        <v>0</v>
      </c>
      <c r="R985" s="306">
        <f t="shared" ca="1" si="455"/>
        <v>0</v>
      </c>
      <c r="S985" s="307">
        <f t="shared" ca="1" si="456"/>
        <v>8.5499999999999989</v>
      </c>
      <c r="T985" s="304">
        <f t="shared" ca="1" si="436"/>
        <v>83.875499999999988</v>
      </c>
      <c r="U985" s="311">
        <f t="shared" ca="1" si="437"/>
        <v>0</v>
      </c>
      <c r="V985" s="306">
        <f t="shared" ca="1" si="438"/>
        <v>1.2261643074481849</v>
      </c>
      <c r="W985" s="304">
        <f t="shared" ca="1" si="439"/>
        <v>58.515599870575052</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2.9085913203157103</v>
      </c>
      <c r="AH985" s="304">
        <f t="shared" ca="1" si="463"/>
        <v>-6.8438892843560035</v>
      </c>
    </row>
    <row r="986" spans="1:34" x14ac:dyDescent="0.3">
      <c r="A986" s="347">
        <f t="shared" ca="1" si="441"/>
        <v>1E-4</v>
      </c>
      <c r="B986" s="304">
        <f t="shared" ca="1" si="442"/>
        <v>33.147100000001764</v>
      </c>
      <c r="D986" s="306">
        <f t="shared" ca="1" si="443"/>
        <v>-0.74003497321261291</v>
      </c>
      <c r="E986" s="307">
        <f t="shared" ca="1" si="444"/>
        <v>-3.0061978662850288</v>
      </c>
      <c r="F986" s="304">
        <f t="shared" ca="1" si="445"/>
        <v>3.0959453116672546</v>
      </c>
      <c r="G986" s="306">
        <f t="shared" ca="1" si="446"/>
        <v>13.418453567075856</v>
      </c>
      <c r="H986" s="307">
        <f t="shared" ca="1" si="447"/>
        <v>-123.36880321858111</v>
      </c>
      <c r="I986" s="304">
        <f t="shared" ca="1" si="448"/>
        <v>124.09640004334034</v>
      </c>
      <c r="J986" s="306">
        <f t="shared" ca="1" si="449"/>
        <v>764.67878961306644</v>
      </c>
      <c r="K986" s="307">
        <f t="shared" ca="1" si="450"/>
        <v>-9.5123727841149819</v>
      </c>
      <c r="L986" s="304">
        <f t="shared" ca="1" si="435"/>
        <v>764.73795284403684</v>
      </c>
      <c r="M986" s="306">
        <f t="shared" ca="1" si="451"/>
        <v>-1.4624552301946523</v>
      </c>
      <c r="N986" s="304">
        <f t="shared" ca="1" si="452"/>
        <v>-83.792512416986852</v>
      </c>
      <c r="P986" s="310">
        <f t="shared" ca="1" si="453"/>
        <v>23</v>
      </c>
      <c r="Q986" s="304">
        <f t="shared" ca="1" si="454"/>
        <v>0</v>
      </c>
      <c r="R986" s="306">
        <f t="shared" ca="1" si="455"/>
        <v>0</v>
      </c>
      <c r="S986" s="307">
        <f t="shared" ca="1" si="456"/>
        <v>8.5499999999999989</v>
      </c>
      <c r="T986" s="304">
        <f t="shared" ca="1" si="436"/>
        <v>83.875499999999988</v>
      </c>
      <c r="U986" s="311">
        <f t="shared" ca="1" si="437"/>
        <v>0</v>
      </c>
      <c r="V986" s="306">
        <f t="shared" ca="1" si="438"/>
        <v>1.2261658201518486</v>
      </c>
      <c r="W986" s="304">
        <f t="shared" ca="1" si="439"/>
        <v>58.515946357754714</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2.9085517019785225</v>
      </c>
      <c r="AH986" s="304">
        <f t="shared" ca="1" si="463"/>
        <v>-6.8439298094239831</v>
      </c>
    </row>
    <row r="987" spans="1:34" x14ac:dyDescent="0.3">
      <c r="A987" s="347">
        <f t="shared" ca="1" si="441"/>
        <v>1E-4</v>
      </c>
      <c r="B987" s="304">
        <f t="shared" ca="1" si="442"/>
        <v>33.147200000001767</v>
      </c>
      <c r="D987" s="306">
        <f t="shared" ca="1" si="443"/>
        <v>-0.7400335393482409</v>
      </c>
      <c r="E987" s="307">
        <f t="shared" ca="1" si="444"/>
        <v>-3.0061569465043325</v>
      </c>
      <c r="F987" s="304">
        <f t="shared" ca="1" si="445"/>
        <v>3.0959052353676038</v>
      </c>
      <c r="G987" s="306">
        <f t="shared" ca="1" si="446"/>
        <v>13.418379563721921</v>
      </c>
      <c r="H987" s="307">
        <f t="shared" ca="1" si="447"/>
        <v>-123.36910383427576</v>
      </c>
      <c r="I987" s="304">
        <f t="shared" ca="1" si="448"/>
        <v>124.09669089459406</v>
      </c>
      <c r="J987" s="306">
        <f t="shared" ca="1" si="449"/>
        <v>764.67878961306644</v>
      </c>
      <c r="K987" s="307">
        <f t="shared" ca="1" si="450"/>
        <v>-9.5247096794676249</v>
      </c>
      <c r="L987" s="304">
        <f t="shared" ca="1" si="435"/>
        <v>764.73810639890462</v>
      </c>
      <c r="M987" s="306">
        <f t="shared" ca="1" si="451"/>
        <v>-1.4624560849702022</v>
      </c>
      <c r="N987" s="304">
        <f t="shared" ca="1" si="452"/>
        <v>-83.792561392018285</v>
      </c>
      <c r="P987" s="310">
        <f t="shared" ca="1" si="453"/>
        <v>23</v>
      </c>
      <c r="Q987" s="304">
        <f t="shared" ca="1" si="454"/>
        <v>0</v>
      </c>
      <c r="R987" s="306">
        <f t="shared" ca="1" si="455"/>
        <v>0</v>
      </c>
      <c r="S987" s="307">
        <f t="shared" ca="1" si="456"/>
        <v>8.5499999999999989</v>
      </c>
      <c r="T987" s="304">
        <f t="shared" ca="1" si="436"/>
        <v>83.875499999999988</v>
      </c>
      <c r="U987" s="311">
        <f t="shared" ca="1" si="437"/>
        <v>0</v>
      </c>
      <c r="V987" s="306">
        <f t="shared" ca="1" si="438"/>
        <v>1.2261673328610647</v>
      </c>
      <c r="W987" s="304">
        <f t="shared" ca="1" si="439"/>
        <v>58.516292842782747</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2.9085120838766043</v>
      </c>
      <c r="AH987" s="304">
        <f t="shared" ca="1" si="463"/>
        <v>-6.8439703342403186</v>
      </c>
    </row>
    <row r="988" spans="1:34" x14ac:dyDescent="0.3">
      <c r="A988" s="347">
        <f t="shared" ca="1" si="441"/>
        <v>1E-4</v>
      </c>
      <c r="B988" s="304">
        <f t="shared" ca="1" si="442"/>
        <v>33.147300000001771</v>
      </c>
      <c r="D988" s="306">
        <f t="shared" ca="1" si="443"/>
        <v>-0.74003210544658027</v>
      </c>
      <c r="E988" s="307">
        <f t="shared" ca="1" si="444"/>
        <v>-3.0061160269777485</v>
      </c>
      <c r="F988" s="304">
        <f t="shared" ca="1" si="445"/>
        <v>3.0958651593285165</v>
      </c>
      <c r="G988" s="306">
        <f t="shared" ca="1" si="446"/>
        <v>13.418305560511376</v>
      </c>
      <c r="H988" s="307">
        <f t="shared" ca="1" si="447"/>
        <v>-123.36940444587846</v>
      </c>
      <c r="I988" s="304">
        <f t="shared" ca="1" si="448"/>
        <v>124.096981741886</v>
      </c>
      <c r="J988" s="306">
        <f t="shared" ca="1" si="449"/>
        <v>764.67878961306644</v>
      </c>
      <c r="K988" s="307">
        <f t="shared" ca="1" si="450"/>
        <v>-9.5370466048816329</v>
      </c>
      <c r="L988" s="304">
        <f t="shared" ca="1" si="435"/>
        <v>764.73826015313762</v>
      </c>
      <c r="M988" s="306">
        <f t="shared" ca="1" si="451"/>
        <v>-1.4624569397370313</v>
      </c>
      <c r="N988" s="304">
        <f t="shared" ca="1" si="452"/>
        <v>-83.792610366550065</v>
      </c>
      <c r="P988" s="310">
        <f t="shared" ca="1" si="453"/>
        <v>23</v>
      </c>
      <c r="Q988" s="304">
        <f t="shared" ca="1" si="454"/>
        <v>0</v>
      </c>
      <c r="R988" s="306">
        <f t="shared" ca="1" si="455"/>
        <v>0</v>
      </c>
      <c r="S988" s="307">
        <f t="shared" ca="1" si="456"/>
        <v>8.5499999999999989</v>
      </c>
      <c r="T988" s="304">
        <f t="shared" ca="1" si="436"/>
        <v>83.875499999999988</v>
      </c>
      <c r="U988" s="311">
        <f t="shared" ca="1" si="437"/>
        <v>0</v>
      </c>
      <c r="V988" s="306">
        <f t="shared" ca="1" si="438"/>
        <v>1.2261688455758344</v>
      </c>
      <c r="W988" s="304">
        <f t="shared" ca="1" si="439"/>
        <v>58.516639325659206</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2.9084724660099619</v>
      </c>
      <c r="AH988" s="304">
        <f t="shared" ca="1" si="463"/>
        <v>-6.8440108588050004</v>
      </c>
    </row>
    <row r="989" spans="1:34" x14ac:dyDescent="0.3">
      <c r="A989" s="347">
        <f t="shared" ca="1" si="441"/>
        <v>1E-4</v>
      </c>
      <c r="B989" s="304">
        <f t="shared" ca="1" si="442"/>
        <v>33.147400000001774</v>
      </c>
      <c r="D989" s="306">
        <f t="shared" ca="1" si="443"/>
        <v>-0.74003067150763213</v>
      </c>
      <c r="E989" s="307">
        <f t="shared" ca="1" si="444"/>
        <v>-3.0060751077052696</v>
      </c>
      <c r="F989" s="304">
        <f t="shared" ca="1" si="445"/>
        <v>3.095825083549987</v>
      </c>
      <c r="G989" s="306">
        <f t="shared" ca="1" si="446"/>
        <v>13.418231557444225</v>
      </c>
      <c r="H989" s="307">
        <f t="shared" ca="1" si="447"/>
        <v>-123.36970505338923</v>
      </c>
      <c r="I989" s="304">
        <f t="shared" ca="1" si="448"/>
        <v>124.09727258521616</v>
      </c>
      <c r="J989" s="306">
        <f t="shared" ca="1" si="449"/>
        <v>764.67878961306644</v>
      </c>
      <c r="K989" s="307">
        <f t="shared" ca="1" si="450"/>
        <v>-9.5493835603565955</v>
      </c>
      <c r="L989" s="304">
        <f t="shared" ca="1" si="435"/>
        <v>764.73841410673697</v>
      </c>
      <c r="M989" s="306">
        <f t="shared" ca="1" si="451"/>
        <v>-1.4624577944951396</v>
      </c>
      <c r="N989" s="304">
        <f t="shared" ca="1" si="452"/>
        <v>-83.792659340582176</v>
      </c>
      <c r="P989" s="310">
        <f t="shared" ca="1" si="453"/>
        <v>23</v>
      </c>
      <c r="Q989" s="304">
        <f t="shared" ca="1" si="454"/>
        <v>0</v>
      </c>
      <c r="R989" s="306">
        <f t="shared" ca="1" si="455"/>
        <v>0</v>
      </c>
      <c r="S989" s="307">
        <f t="shared" ca="1" si="456"/>
        <v>8.5499999999999989</v>
      </c>
      <c r="T989" s="304">
        <f t="shared" ca="1" si="436"/>
        <v>83.875499999999988</v>
      </c>
      <c r="U989" s="311">
        <f t="shared" ca="1" si="437"/>
        <v>0</v>
      </c>
      <c r="V989" s="306">
        <f t="shared" ca="1" si="438"/>
        <v>1.2261703582961574</v>
      </c>
      <c r="W989" s="304">
        <f t="shared" ca="1" si="439"/>
        <v>58.516985806384056</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2.9084328483785873</v>
      </c>
      <c r="AH989" s="304">
        <f t="shared" ca="1" si="463"/>
        <v>-6.8440513831180363</v>
      </c>
    </row>
    <row r="990" spans="1:34" x14ac:dyDescent="0.3">
      <c r="A990" s="347">
        <f t="shared" ca="1" si="441"/>
        <v>1E-4</v>
      </c>
      <c r="B990" s="304">
        <f t="shared" ca="1" si="442"/>
        <v>33.147500000001777</v>
      </c>
      <c r="D990" s="306">
        <f t="shared" ca="1" si="443"/>
        <v>-0.74002923753139782</v>
      </c>
      <c r="E990" s="307">
        <f t="shared" ca="1" si="444"/>
        <v>-3.0060341886868978</v>
      </c>
      <c r="F990" s="304">
        <f t="shared" ca="1" si="445"/>
        <v>3.0957850080320175</v>
      </c>
      <c r="G990" s="306">
        <f t="shared" ca="1" si="446"/>
        <v>13.418157554520471</v>
      </c>
      <c r="H990" s="307">
        <f t="shared" ca="1" si="447"/>
        <v>-123.37000565680809</v>
      </c>
      <c r="I990" s="304">
        <f t="shared" ca="1" si="448"/>
        <v>124.09756342458459</v>
      </c>
      <c r="J990" s="306">
        <f t="shared" ca="1" si="449"/>
        <v>764.67878961306644</v>
      </c>
      <c r="K990" s="307">
        <f t="shared" ca="1" si="450"/>
        <v>-9.561720545892106</v>
      </c>
      <c r="L990" s="304">
        <f t="shared" ca="1" si="435"/>
        <v>764.73856825970404</v>
      </c>
      <c r="M990" s="306">
        <f t="shared" ca="1" si="451"/>
        <v>-1.4624586492445273</v>
      </c>
      <c r="N990" s="304">
        <f t="shared" ca="1" si="452"/>
        <v>-83.792708314114634</v>
      </c>
      <c r="P990" s="310">
        <f t="shared" ca="1" si="453"/>
        <v>23</v>
      </c>
      <c r="Q990" s="304">
        <f t="shared" ca="1" si="454"/>
        <v>0</v>
      </c>
      <c r="R990" s="306">
        <f t="shared" ca="1" si="455"/>
        <v>0</v>
      </c>
      <c r="S990" s="307">
        <f t="shared" ca="1" si="456"/>
        <v>8.5499999999999989</v>
      </c>
      <c r="T990" s="304">
        <f t="shared" ca="1" si="436"/>
        <v>83.875499999999988</v>
      </c>
      <c r="U990" s="311">
        <f t="shared" ca="1" si="437"/>
        <v>0</v>
      </c>
      <c r="V990" s="306">
        <f t="shared" ca="1" si="438"/>
        <v>1.2261718710220331</v>
      </c>
      <c r="W990" s="304">
        <f t="shared" ca="1" si="439"/>
        <v>58.517332284957263</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2.9083932309824894</v>
      </c>
      <c r="AH990" s="304">
        <f t="shared" ca="1" si="463"/>
        <v>-6.8440919071794228</v>
      </c>
    </row>
    <row r="991" spans="1:34" x14ac:dyDescent="0.3">
      <c r="A991" s="347">
        <f t="shared" ca="1" si="441"/>
        <v>1E-4</v>
      </c>
      <c r="B991" s="304">
        <f t="shared" ca="1" si="442"/>
        <v>33.147600000001781</v>
      </c>
      <c r="D991" s="306">
        <f t="shared" ca="1" si="443"/>
        <v>-0.740027803517877</v>
      </c>
      <c r="E991" s="307">
        <f t="shared" ca="1" si="444"/>
        <v>-3.005993269922639</v>
      </c>
      <c r="F991" s="304">
        <f t="shared" ca="1" si="445"/>
        <v>3.0957449327746134</v>
      </c>
      <c r="G991" s="306">
        <f t="shared" ca="1" si="446"/>
        <v>13.41808355174012</v>
      </c>
      <c r="H991" s="307">
        <f t="shared" ca="1" si="447"/>
        <v>-123.37030625613508</v>
      </c>
      <c r="I991" s="304">
        <f t="shared" ca="1" si="448"/>
        <v>124.09785425999129</v>
      </c>
      <c r="J991" s="306">
        <f t="shared" ca="1" si="449"/>
        <v>764.67878961306644</v>
      </c>
      <c r="K991" s="307">
        <f t="shared" ca="1" si="450"/>
        <v>-9.5740575614877539</v>
      </c>
      <c r="L991" s="304">
        <f t="shared" ca="1" si="435"/>
        <v>764.73872261204019</v>
      </c>
      <c r="M991" s="306">
        <f t="shared" ca="1" si="451"/>
        <v>-1.4624595039851949</v>
      </c>
      <c r="N991" s="304">
        <f t="shared" ca="1" si="452"/>
        <v>-83.792757287147467</v>
      </c>
      <c r="P991" s="310">
        <f t="shared" ca="1" si="453"/>
        <v>23</v>
      </c>
      <c r="Q991" s="304">
        <f t="shared" ca="1" si="454"/>
        <v>0</v>
      </c>
      <c r="R991" s="306">
        <f t="shared" ca="1" si="455"/>
        <v>0</v>
      </c>
      <c r="S991" s="307">
        <f t="shared" ca="1" si="456"/>
        <v>8.5499999999999989</v>
      </c>
      <c r="T991" s="304">
        <f t="shared" ca="1" si="436"/>
        <v>83.875499999999988</v>
      </c>
      <c r="U991" s="311">
        <f t="shared" ca="1" si="437"/>
        <v>0</v>
      </c>
      <c r="V991" s="306">
        <f t="shared" ca="1" si="438"/>
        <v>1.2261733837534623</v>
      </c>
      <c r="W991" s="304">
        <f t="shared" ca="1" si="439"/>
        <v>58.517678761378846</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2.9083536138216699</v>
      </c>
      <c r="AH991" s="304">
        <f t="shared" ca="1" si="463"/>
        <v>-6.8441324309891547</v>
      </c>
    </row>
    <row r="992" spans="1:34" x14ac:dyDescent="0.3">
      <c r="A992" s="347">
        <f t="shared" ca="1" si="441"/>
        <v>1E-4</v>
      </c>
      <c r="B992" s="304">
        <f t="shared" ca="1" si="442"/>
        <v>33.147700000001784</v>
      </c>
      <c r="D992" s="306">
        <f t="shared" ca="1" si="443"/>
        <v>-0.74002636946706868</v>
      </c>
      <c r="E992" s="307">
        <f t="shared" ca="1" si="444"/>
        <v>-3.0059523514124917</v>
      </c>
      <c r="F992" s="304">
        <f t="shared" ca="1" si="445"/>
        <v>3.0957048577777728</v>
      </c>
      <c r="G992" s="306">
        <f t="shared" ca="1" si="446"/>
        <v>13.418009549103173</v>
      </c>
      <c r="H992" s="307">
        <f t="shared" ca="1" si="447"/>
        <v>-123.37060685137023</v>
      </c>
      <c r="I992" s="304">
        <f t="shared" ca="1" si="448"/>
        <v>124.09814509143634</v>
      </c>
      <c r="J992" s="306">
        <f t="shared" ca="1" si="449"/>
        <v>764.67878961306644</v>
      </c>
      <c r="K992" s="307">
        <f t="shared" ca="1" si="450"/>
        <v>-9.586394607143129</v>
      </c>
      <c r="L992" s="304">
        <f t="shared" ca="1" si="435"/>
        <v>764.73887716374679</v>
      </c>
      <c r="M992" s="306">
        <f t="shared" ca="1" si="451"/>
        <v>-1.4624603587171419</v>
      </c>
      <c r="N992" s="304">
        <f t="shared" ca="1" si="452"/>
        <v>-83.792806259680646</v>
      </c>
      <c r="P992" s="310">
        <f t="shared" ca="1" si="453"/>
        <v>23</v>
      </c>
      <c r="Q992" s="304">
        <f t="shared" ca="1" si="454"/>
        <v>0</v>
      </c>
      <c r="R992" s="306">
        <f t="shared" ca="1" si="455"/>
        <v>0</v>
      </c>
      <c r="S992" s="307">
        <f t="shared" ca="1" si="456"/>
        <v>8.5499999999999989</v>
      </c>
      <c r="T992" s="304">
        <f t="shared" ca="1" si="436"/>
        <v>83.875499999999988</v>
      </c>
      <c r="U992" s="311">
        <f t="shared" ca="1" si="437"/>
        <v>0</v>
      </c>
      <c r="V992" s="306">
        <f t="shared" ca="1" si="438"/>
        <v>1.2261748964904442</v>
      </c>
      <c r="W992" s="304">
        <f t="shared" ca="1" si="439"/>
        <v>58.5180252356488</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2.9083139968961262</v>
      </c>
      <c r="AH992" s="304">
        <f t="shared" ca="1" si="463"/>
        <v>-6.8441729545472345</v>
      </c>
    </row>
    <row r="993" spans="1:34" x14ac:dyDescent="0.3">
      <c r="A993" s="347">
        <f t="shared" ca="1" si="441"/>
        <v>1E-4</v>
      </c>
      <c r="B993" s="304">
        <f t="shared" ca="1" si="442"/>
        <v>33.147800000001787</v>
      </c>
      <c r="D993" s="306">
        <f t="shared" ca="1" si="443"/>
        <v>-0.74002493537897729</v>
      </c>
      <c r="E993" s="307">
        <f t="shared" ca="1" si="444"/>
        <v>-3.0059114331564549</v>
      </c>
      <c r="F993" s="304">
        <f t="shared" ca="1" si="445"/>
        <v>3.0956647830414963</v>
      </c>
      <c r="G993" s="306">
        <f t="shared" ca="1" si="446"/>
        <v>13.417935546609636</v>
      </c>
      <c r="H993" s="307">
        <f t="shared" ca="1" si="447"/>
        <v>-123.37090744251354</v>
      </c>
      <c r="I993" s="304">
        <f t="shared" ca="1" si="448"/>
        <v>124.09843591891968</v>
      </c>
      <c r="J993" s="306">
        <f t="shared" ca="1" si="449"/>
        <v>764.67878961306644</v>
      </c>
      <c r="K993" s="307">
        <f t="shared" ca="1" si="450"/>
        <v>-9.5987316828578226</v>
      </c>
      <c r="L993" s="304">
        <f t="shared" ca="1" si="435"/>
        <v>764.73903191482509</v>
      </c>
      <c r="M993" s="306">
        <f t="shared" ca="1" si="451"/>
        <v>-1.4624612134403689</v>
      </c>
      <c r="N993" s="304">
        <f t="shared" ca="1" si="452"/>
        <v>-83.792855231714199</v>
      </c>
      <c r="P993" s="310">
        <f t="shared" ca="1" si="453"/>
        <v>23</v>
      </c>
      <c r="Q993" s="304">
        <f t="shared" ca="1" si="454"/>
        <v>0</v>
      </c>
      <c r="R993" s="306">
        <f t="shared" ca="1" si="455"/>
        <v>0</v>
      </c>
      <c r="S993" s="307">
        <f t="shared" ca="1" si="456"/>
        <v>8.5499999999999989</v>
      </c>
      <c r="T993" s="304">
        <f t="shared" ca="1" si="436"/>
        <v>83.875499999999988</v>
      </c>
      <c r="U993" s="311">
        <f t="shared" ca="1" si="437"/>
        <v>0</v>
      </c>
      <c r="V993" s="306">
        <f t="shared" ca="1" si="438"/>
        <v>1.226176409232979</v>
      </c>
      <c r="W993" s="304">
        <f t="shared" ca="1" si="439"/>
        <v>58.518371707767045</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2.9082743802058628</v>
      </c>
      <c r="AH993" s="304">
        <f t="shared" ca="1" si="463"/>
        <v>-6.8442134778536614</v>
      </c>
    </row>
    <row r="994" spans="1:34" x14ac:dyDescent="0.3">
      <c r="A994" s="347">
        <f t="shared" ca="1" si="441"/>
        <v>1E-4</v>
      </c>
      <c r="B994" s="304">
        <f t="shared" ca="1" si="442"/>
        <v>33.14790000000179</v>
      </c>
      <c r="D994" s="306">
        <f t="shared" ca="1" si="443"/>
        <v>-0.74002350125359928</v>
      </c>
      <c r="E994" s="307">
        <f t="shared" ca="1" si="444"/>
        <v>-3.0058705151545375</v>
      </c>
      <c r="F994" s="304">
        <f t="shared" ca="1" si="445"/>
        <v>3.0956247085657913</v>
      </c>
      <c r="G994" s="306">
        <f t="shared" ca="1" si="446"/>
        <v>13.417861544259511</v>
      </c>
      <c r="H994" s="307">
        <f t="shared" ca="1" si="447"/>
        <v>-123.37120802956505</v>
      </c>
      <c r="I994" s="304">
        <f t="shared" ca="1" si="448"/>
        <v>124.09872674244137</v>
      </c>
      <c r="J994" s="306">
        <f t="shared" ca="1" si="449"/>
        <v>764.67878961306644</v>
      </c>
      <c r="K994" s="307">
        <f t="shared" ca="1" si="450"/>
        <v>-9.6110687886314263</v>
      </c>
      <c r="L994" s="304">
        <f t="shared" ca="1" si="435"/>
        <v>764.73918686527645</v>
      </c>
      <c r="M994" s="306">
        <f t="shared" ca="1" si="451"/>
        <v>-1.4624620681548759</v>
      </c>
      <c r="N994" s="304">
        <f t="shared" ca="1" si="452"/>
        <v>-83.792904203248142</v>
      </c>
      <c r="P994" s="310">
        <f t="shared" ca="1" si="453"/>
        <v>23</v>
      </c>
      <c r="Q994" s="304">
        <f t="shared" ca="1" si="454"/>
        <v>0</v>
      </c>
      <c r="R994" s="306">
        <f t="shared" ca="1" si="455"/>
        <v>0</v>
      </c>
      <c r="S994" s="307">
        <f t="shared" ca="1" si="456"/>
        <v>8.5499999999999989</v>
      </c>
      <c r="T994" s="304">
        <f t="shared" ca="1" si="436"/>
        <v>83.875499999999988</v>
      </c>
      <c r="U994" s="311">
        <f t="shared" ca="1" si="437"/>
        <v>0</v>
      </c>
      <c r="V994" s="306">
        <f t="shared" ca="1" si="438"/>
        <v>1.2261779219810669</v>
      </c>
      <c r="W994" s="304">
        <f t="shared" ca="1" si="439"/>
        <v>58.518718177733625</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2.9082347637508841</v>
      </c>
      <c r="AH994" s="304">
        <f t="shared" ca="1" si="463"/>
        <v>-6.8442540009084274</v>
      </c>
    </row>
    <row r="995" spans="1:34" x14ac:dyDescent="0.3">
      <c r="A995" s="347">
        <f t="shared" ca="1" si="441"/>
        <v>1E-4</v>
      </c>
      <c r="B995" s="304">
        <f t="shared" ca="1" si="442"/>
        <v>33.148000000001794</v>
      </c>
      <c r="D995" s="306">
        <f t="shared" ca="1" si="443"/>
        <v>-0.74002206709093821</v>
      </c>
      <c r="E995" s="307">
        <f t="shared" ca="1" si="444"/>
        <v>-3.0058295974067368</v>
      </c>
      <c r="F995" s="304">
        <f t="shared" ca="1" si="445"/>
        <v>3.095584634350657</v>
      </c>
      <c r="G995" s="306">
        <f t="shared" ca="1" si="446"/>
        <v>13.417787542052801</v>
      </c>
      <c r="H995" s="307">
        <f t="shared" ca="1" si="447"/>
        <v>-123.37150861252479</v>
      </c>
      <c r="I995" s="304">
        <f t="shared" ca="1" si="448"/>
        <v>124.09901756200146</v>
      </c>
      <c r="J995" s="306">
        <f t="shared" ca="1" si="449"/>
        <v>764.67878961306644</v>
      </c>
      <c r="K995" s="307">
        <f t="shared" ca="1" si="450"/>
        <v>-9.6234059244635315</v>
      </c>
      <c r="L995" s="304">
        <f t="shared" ca="1" si="435"/>
        <v>764.73934201510212</v>
      </c>
      <c r="M995" s="306">
        <f t="shared" ca="1" si="451"/>
        <v>-1.4624629228606629</v>
      </c>
      <c r="N995" s="304">
        <f t="shared" ca="1" si="452"/>
        <v>-83.792953174282459</v>
      </c>
      <c r="P995" s="310">
        <f t="shared" ca="1" si="453"/>
        <v>23</v>
      </c>
      <c r="Q995" s="304">
        <f t="shared" ca="1" si="454"/>
        <v>0</v>
      </c>
      <c r="R995" s="306">
        <f t="shared" ca="1" si="455"/>
        <v>0</v>
      </c>
      <c r="S995" s="307">
        <f t="shared" ca="1" si="456"/>
        <v>8.5499999999999989</v>
      </c>
      <c r="T995" s="304">
        <f t="shared" ca="1" si="436"/>
        <v>83.875499999999988</v>
      </c>
      <c r="U995" s="311">
        <f t="shared" ca="1" si="437"/>
        <v>0</v>
      </c>
      <c r="V995" s="306">
        <f t="shared" ca="1" si="438"/>
        <v>1.2261794347347075</v>
      </c>
      <c r="W995" s="304">
        <f t="shared" ca="1" si="439"/>
        <v>58.519064645548511</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2.9081951475311918</v>
      </c>
      <c r="AH995" s="304">
        <f t="shared" ca="1" si="463"/>
        <v>-6.844294523711536</v>
      </c>
    </row>
    <row r="996" spans="1:34" x14ac:dyDescent="0.3">
      <c r="A996" s="347">
        <f t="shared" ca="1" si="441"/>
        <v>1E-4</v>
      </c>
      <c r="B996" s="304">
        <f t="shared" ca="1" si="442"/>
        <v>33.148100000001797</v>
      </c>
      <c r="D996" s="306">
        <f t="shared" ca="1" si="443"/>
        <v>-0.74002063289099396</v>
      </c>
      <c r="E996" s="307">
        <f t="shared" ca="1" si="444"/>
        <v>-3.0057886799130538</v>
      </c>
      <c r="F996" s="304">
        <f t="shared" ca="1" si="445"/>
        <v>3.0955445603960938</v>
      </c>
      <c r="G996" s="306">
        <f t="shared" ca="1" si="446"/>
        <v>13.417713539989512</v>
      </c>
      <c r="H996" s="307">
        <f t="shared" ca="1" si="447"/>
        <v>-123.37180919139279</v>
      </c>
      <c r="I996" s="304">
        <f t="shared" ca="1" si="448"/>
        <v>124.09930837759995</v>
      </c>
      <c r="J996" s="306">
        <f t="shared" ca="1" si="449"/>
        <v>764.67878961306644</v>
      </c>
      <c r="K996" s="307">
        <f t="shared" ca="1" si="450"/>
        <v>-9.6357430903537278</v>
      </c>
      <c r="L996" s="304">
        <f t="shared" ca="1" si="435"/>
        <v>764.73949736430359</v>
      </c>
      <c r="M996" s="306">
        <f t="shared" ca="1" si="451"/>
        <v>-1.4624637775577303</v>
      </c>
      <c r="N996" s="304">
        <f t="shared" ca="1" si="452"/>
        <v>-83.79300214481718</v>
      </c>
      <c r="P996" s="310">
        <f t="shared" ca="1" si="453"/>
        <v>23</v>
      </c>
      <c r="Q996" s="304">
        <f t="shared" ca="1" si="454"/>
        <v>0</v>
      </c>
      <c r="R996" s="306">
        <f t="shared" ca="1" si="455"/>
        <v>0</v>
      </c>
      <c r="S996" s="307">
        <f t="shared" ca="1" si="456"/>
        <v>8.5499999999999989</v>
      </c>
      <c r="T996" s="304">
        <f t="shared" ca="1" si="436"/>
        <v>83.875499999999988</v>
      </c>
      <c r="U996" s="311">
        <f t="shared" ca="1" si="437"/>
        <v>0</v>
      </c>
      <c r="V996" s="306">
        <f t="shared" ca="1" si="438"/>
        <v>1.2261809474939014</v>
      </c>
      <c r="W996" s="304">
        <f t="shared" ca="1" si="439"/>
        <v>58.519411111211717</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2.9081555315467833</v>
      </c>
      <c r="AH996" s="304">
        <f t="shared" ca="1" si="463"/>
        <v>-6.8443350462629846</v>
      </c>
    </row>
    <row r="997" spans="1:34" x14ac:dyDescent="0.3">
      <c r="A997" s="347">
        <f t="shared" ca="1" si="441"/>
        <v>1E-4</v>
      </c>
      <c r="B997" s="304">
        <f t="shared" ca="1" si="442"/>
        <v>33.1482000000018</v>
      </c>
      <c r="D997" s="306">
        <f t="shared" ca="1" si="443"/>
        <v>-0.74001919865376709</v>
      </c>
      <c r="E997" s="307">
        <f t="shared" ca="1" si="444"/>
        <v>-3.0057477626734883</v>
      </c>
      <c r="F997" s="304">
        <f t="shared" ca="1" si="445"/>
        <v>3.0955044867021018</v>
      </c>
      <c r="G997" s="306">
        <f t="shared" ca="1" si="446"/>
        <v>13.417639538069647</v>
      </c>
      <c r="H997" s="307">
        <f t="shared" ca="1" si="447"/>
        <v>-123.37210976616905</v>
      </c>
      <c r="I997" s="304">
        <f t="shared" ca="1" si="448"/>
        <v>124.09959918923684</v>
      </c>
      <c r="J997" s="306">
        <f t="shared" ca="1" si="449"/>
        <v>764.67878961306644</v>
      </c>
      <c r="K997" s="307">
        <f t="shared" ca="1" si="450"/>
        <v>-9.6480802863016066</v>
      </c>
      <c r="L997" s="304">
        <f t="shared" ca="1" si="435"/>
        <v>764.73965291288198</v>
      </c>
      <c r="M997" s="306">
        <f t="shared" ca="1" si="451"/>
        <v>-1.4624646322460781</v>
      </c>
      <c r="N997" s="304">
        <f t="shared" ca="1" si="452"/>
        <v>-83.793051114852318</v>
      </c>
      <c r="P997" s="310">
        <f t="shared" ca="1" si="453"/>
        <v>23</v>
      </c>
      <c r="Q997" s="304">
        <f t="shared" ca="1" si="454"/>
        <v>0</v>
      </c>
      <c r="R997" s="306">
        <f t="shared" ca="1" si="455"/>
        <v>0</v>
      </c>
      <c r="S997" s="307">
        <f t="shared" ca="1" si="456"/>
        <v>8.5499999999999989</v>
      </c>
      <c r="T997" s="304">
        <f t="shared" ca="1" si="436"/>
        <v>83.875499999999988</v>
      </c>
      <c r="U997" s="311">
        <f t="shared" ca="1" si="437"/>
        <v>0</v>
      </c>
      <c r="V997" s="306">
        <f t="shared" ca="1" si="438"/>
        <v>1.2261824602586475</v>
      </c>
      <c r="W997" s="304">
        <f t="shared" ca="1" si="439"/>
        <v>58.519757574723144</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2.9081159157976604</v>
      </c>
      <c r="AH997" s="304">
        <f t="shared" ca="1" si="463"/>
        <v>-6.844375568562775</v>
      </c>
    </row>
    <row r="998" spans="1:34" x14ac:dyDescent="0.3">
      <c r="A998" s="347">
        <f t="shared" ca="1" si="441"/>
        <v>1E-4</v>
      </c>
      <c r="B998" s="304">
        <f t="shared" ca="1" si="442"/>
        <v>33.148300000001804</v>
      </c>
      <c r="D998" s="306">
        <f t="shared" ca="1" si="443"/>
        <v>-0.74001776437925626</v>
      </c>
      <c r="E998" s="307">
        <f t="shared" ca="1" si="444"/>
        <v>-3.005706845688052</v>
      </c>
      <c r="F998" s="304">
        <f t="shared" ca="1" si="445"/>
        <v>3.0954644132686928</v>
      </c>
      <c r="G998" s="306">
        <f t="shared" ca="1" si="446"/>
        <v>13.417565536293209</v>
      </c>
      <c r="H998" s="307">
        <f t="shared" ca="1" si="447"/>
        <v>-123.37241033685362</v>
      </c>
      <c r="I998" s="304">
        <f t="shared" ca="1" si="448"/>
        <v>124.09988999691221</v>
      </c>
      <c r="J998" s="306">
        <f t="shared" ca="1" si="449"/>
        <v>764.67878961306644</v>
      </c>
      <c r="K998" s="307">
        <f t="shared" ca="1" si="450"/>
        <v>-9.6604175123067577</v>
      </c>
      <c r="L998" s="304">
        <f t="shared" ca="1" si="435"/>
        <v>764.73980866083878</v>
      </c>
      <c r="M998" s="306">
        <f t="shared" ca="1" si="451"/>
        <v>-1.4624654869257065</v>
      </c>
      <c r="N998" s="304">
        <f t="shared" ca="1" si="452"/>
        <v>-83.793100084387859</v>
      </c>
      <c r="P998" s="310">
        <f t="shared" ca="1" si="453"/>
        <v>23</v>
      </c>
      <c r="Q998" s="304">
        <f t="shared" ca="1" si="454"/>
        <v>0</v>
      </c>
      <c r="R998" s="306">
        <f t="shared" ca="1" si="455"/>
        <v>0</v>
      </c>
      <c r="S998" s="307">
        <f t="shared" ca="1" si="456"/>
        <v>8.5499999999999989</v>
      </c>
      <c r="T998" s="304">
        <f t="shared" ca="1" si="436"/>
        <v>83.875499999999988</v>
      </c>
      <c r="U998" s="311">
        <f t="shared" ca="1" si="437"/>
        <v>0</v>
      </c>
      <c r="V998" s="306">
        <f t="shared" ca="1" si="438"/>
        <v>1.2261839730289468</v>
      </c>
      <c r="W998" s="304">
        <f t="shared" ca="1" si="439"/>
        <v>58.520104036082884</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2.9080763002838355</v>
      </c>
      <c r="AH998" s="304">
        <f t="shared" ca="1" si="463"/>
        <v>-6.8444160906108946</v>
      </c>
    </row>
    <row r="999" spans="1:34" x14ac:dyDescent="0.3">
      <c r="A999" s="347">
        <f t="shared" ca="1" si="441"/>
        <v>1E-4</v>
      </c>
      <c r="B999" s="304">
        <f t="shared" ca="1" si="442"/>
        <v>33.148400000001807</v>
      </c>
      <c r="D999" s="306">
        <f t="shared" ca="1" si="443"/>
        <v>-0.74001633006746459</v>
      </c>
      <c r="E999" s="307">
        <f t="shared" ca="1" si="444"/>
        <v>-3.0056659289567316</v>
      </c>
      <c r="F999" s="304">
        <f t="shared" ca="1" si="445"/>
        <v>3.0954243400958537</v>
      </c>
      <c r="G999" s="306">
        <f t="shared" ca="1" si="446"/>
        <v>13.417491534660202</v>
      </c>
      <c r="H999" s="307">
        <f t="shared" ca="1" si="447"/>
        <v>-123.37271090344652</v>
      </c>
      <c r="I999" s="304">
        <f t="shared" ca="1" si="448"/>
        <v>124.10018080062603</v>
      </c>
      <c r="J999" s="306">
        <f t="shared" ca="1" si="449"/>
        <v>764.67878961306644</v>
      </c>
      <c r="K999" s="307">
        <f t="shared" ca="1" si="450"/>
        <v>-9.6727547683687725</v>
      </c>
      <c r="L999" s="304">
        <f t="shared" ca="1" si="435"/>
        <v>764.73996460817534</v>
      </c>
      <c r="M999" s="306">
        <f t="shared" ca="1" si="451"/>
        <v>-1.4624663415966155</v>
      </c>
      <c r="N999" s="304">
        <f t="shared" ca="1" si="452"/>
        <v>-83.793149053423818</v>
      </c>
      <c r="P999" s="310">
        <f t="shared" ca="1" si="453"/>
        <v>23</v>
      </c>
      <c r="Q999" s="304">
        <f t="shared" ca="1" si="454"/>
        <v>0</v>
      </c>
      <c r="R999" s="306">
        <f t="shared" ca="1" si="455"/>
        <v>0</v>
      </c>
      <c r="S999" s="307">
        <f t="shared" ca="1" si="456"/>
        <v>8.5499999999999989</v>
      </c>
      <c r="T999" s="304">
        <f t="shared" ca="1" si="436"/>
        <v>83.875499999999988</v>
      </c>
      <c r="U999" s="311">
        <f t="shared" ca="1" si="437"/>
        <v>0</v>
      </c>
      <c r="V999" s="306">
        <f t="shared" ca="1" si="438"/>
        <v>1.2261854858047989</v>
      </c>
      <c r="W999" s="304">
        <f t="shared" ca="1" si="439"/>
        <v>58.520450495290874</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2.9080366850052979</v>
      </c>
      <c r="AH999" s="304">
        <f t="shared" ca="1" si="463"/>
        <v>-6.844456612407356</v>
      </c>
    </row>
    <row r="1000" spans="1:34" x14ac:dyDescent="0.3">
      <c r="A1000" s="347">
        <f t="shared" ca="1" si="441"/>
        <v>1E-4</v>
      </c>
      <c r="B1000" s="304">
        <f t="shared" ca="1" si="442"/>
        <v>33.14850000000181</v>
      </c>
      <c r="D1000" s="306">
        <f t="shared" ca="1" si="443"/>
        <v>-0.74001489571839285</v>
      </c>
      <c r="E1000" s="307">
        <f t="shared" ca="1" si="444"/>
        <v>-3.0056250124795385</v>
      </c>
      <c r="F1000" s="304">
        <f t="shared" ca="1" si="445"/>
        <v>3.0953842671835963</v>
      </c>
      <c r="G1000" s="306">
        <f t="shared" ca="1" si="446"/>
        <v>13.41741753317063</v>
      </c>
      <c r="H1000" s="307">
        <f t="shared" ca="1" si="447"/>
        <v>-123.37301146594777</v>
      </c>
      <c r="I1000" s="304">
        <f t="shared" ca="1" si="448"/>
        <v>124.10047160037836</v>
      </c>
      <c r="J1000" s="306">
        <f t="shared" ca="1" si="449"/>
        <v>764.67878961306644</v>
      </c>
      <c r="K1000" s="307">
        <f t="shared" ca="1" si="450"/>
        <v>-9.6850920544872423</v>
      </c>
      <c r="L1000" s="304">
        <f t="shared" ca="1" si="435"/>
        <v>764.74012075489293</v>
      </c>
      <c r="M1000" s="306">
        <f t="shared" ca="1" si="451"/>
        <v>-1.4624671962588052</v>
      </c>
      <c r="N1000" s="304">
        <f t="shared" ca="1" si="452"/>
        <v>-83.793198021960194</v>
      </c>
      <c r="P1000" s="310">
        <f t="shared" ca="1" si="453"/>
        <v>23</v>
      </c>
      <c r="Q1000" s="304">
        <f t="shared" ca="1" si="454"/>
        <v>0</v>
      </c>
      <c r="R1000" s="306">
        <f t="shared" ca="1" si="455"/>
        <v>0</v>
      </c>
      <c r="S1000" s="307">
        <f t="shared" ca="1" si="456"/>
        <v>8.5499999999999989</v>
      </c>
      <c r="T1000" s="304">
        <f t="shared" ca="1" si="436"/>
        <v>83.875499999999988</v>
      </c>
      <c r="U1000" s="311">
        <f t="shared" ca="1" si="437"/>
        <v>0</v>
      </c>
      <c r="V1000" s="306">
        <f t="shared" ca="1" si="438"/>
        <v>1.2261869985862033</v>
      </c>
      <c r="W1000" s="304">
        <f t="shared" ca="1" si="439"/>
        <v>58.520796952347077</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2.9079970699620556</v>
      </c>
      <c r="AH1000" s="304">
        <f t="shared" ca="1" si="463"/>
        <v>-6.8444971339521494</v>
      </c>
    </row>
    <row r="1001" spans="1:34" x14ac:dyDescent="0.3">
      <c r="A1001" s="347">
        <f t="shared" ca="1" si="441"/>
        <v>1E-4</v>
      </c>
      <c r="B1001" s="304">
        <f t="shared" ca="1" si="442"/>
        <v>33.148600000001814</v>
      </c>
      <c r="D1001" s="306">
        <f t="shared" ca="1" si="443"/>
        <v>-0.74001346133204071</v>
      </c>
      <c r="E1001" s="307">
        <f t="shared" ca="1" si="444"/>
        <v>-3.0055840962564746</v>
      </c>
      <c r="F1001" s="304">
        <f t="shared" ca="1" si="445"/>
        <v>3.0953441945319224</v>
      </c>
      <c r="G1001" s="306">
        <f t="shared" ca="1" si="446"/>
        <v>13.417343531824496</v>
      </c>
      <c r="H1001" s="307">
        <f t="shared" ca="1" si="447"/>
        <v>-123.37331202435739</v>
      </c>
      <c r="I1001" s="304">
        <f t="shared" ca="1" si="448"/>
        <v>124.10076239616919</v>
      </c>
      <c r="J1001" s="306">
        <f t="shared" ca="1" si="449"/>
        <v>764.67878961306644</v>
      </c>
      <c r="K1001" s="307">
        <f t="shared" ca="1" si="450"/>
        <v>-9.6974293706617569</v>
      </c>
      <c r="L1001" s="304">
        <f t="shared" ca="1" si="435"/>
        <v>764.74027710099278</v>
      </c>
      <c r="M1001" s="306">
        <f t="shared" ca="1" si="451"/>
        <v>-1.4624680509122761</v>
      </c>
      <c r="N1001" s="304">
        <f t="shared" ca="1" si="452"/>
        <v>-83.793246989997016</v>
      </c>
      <c r="P1001" s="310">
        <f t="shared" ca="1" si="453"/>
        <v>23</v>
      </c>
      <c r="Q1001" s="304">
        <f t="shared" ca="1" si="454"/>
        <v>0</v>
      </c>
      <c r="R1001" s="306">
        <f t="shared" ca="1" si="455"/>
        <v>0</v>
      </c>
      <c r="S1001" s="307">
        <f t="shared" ca="1" si="456"/>
        <v>8.5499999999999989</v>
      </c>
      <c r="T1001" s="304">
        <f t="shared" ca="1" si="436"/>
        <v>83.875499999999988</v>
      </c>
      <c r="U1001" s="311">
        <f t="shared" ca="1" si="437"/>
        <v>0</v>
      </c>
      <c r="V1001" s="306">
        <f t="shared" ca="1" si="438"/>
        <v>1.2261885113731612</v>
      </c>
      <c r="W1001" s="304">
        <f t="shared" ca="1" si="439"/>
        <v>58.521143407251536</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2.9079574551541105</v>
      </c>
      <c r="AH1001" s="304">
        <f t="shared" ca="1" si="463"/>
        <v>-6.844537655245273</v>
      </c>
    </row>
    <row r="1002" spans="1:34" x14ac:dyDescent="0.3">
      <c r="A1002" s="347">
        <f t="shared" ca="1" si="441"/>
        <v>1E-4</v>
      </c>
      <c r="B1002" s="304">
        <f t="shared" ca="1" si="442"/>
        <v>33.148700000001817</v>
      </c>
      <c r="D1002" s="306">
        <f t="shared" ca="1" si="443"/>
        <v>-0.74001202690840762</v>
      </c>
      <c r="E1002" s="307">
        <f t="shared" ca="1" si="444"/>
        <v>-3.0055431802875345</v>
      </c>
      <c r="F1002" s="304">
        <f t="shared" ca="1" si="445"/>
        <v>3.0953041221408273</v>
      </c>
      <c r="G1002" s="306">
        <f t="shared" ca="1" si="446"/>
        <v>13.417269530621805</v>
      </c>
      <c r="H1002" s="307">
        <f t="shared" ca="1" si="447"/>
        <v>-123.37361257867542</v>
      </c>
      <c r="I1002" s="304">
        <f t="shared" ca="1" si="448"/>
        <v>124.10105318799857</v>
      </c>
      <c r="J1002" s="306">
        <f t="shared" ca="1" si="449"/>
        <v>764.67878961306644</v>
      </c>
      <c r="K1002" s="307">
        <f t="shared" ca="1" si="450"/>
        <v>-9.7097667168919077</v>
      </c>
      <c r="L1002" s="304">
        <f t="shared" ca="1" si="435"/>
        <v>764.7404336464765</v>
      </c>
      <c r="M1002" s="306">
        <f t="shared" ca="1" si="451"/>
        <v>-1.4624689055570279</v>
      </c>
      <c r="N1002" s="304">
        <f t="shared" ca="1" si="452"/>
        <v>-83.793295957534284</v>
      </c>
      <c r="P1002" s="310">
        <f t="shared" ca="1" si="453"/>
        <v>23</v>
      </c>
      <c r="Q1002" s="304">
        <f t="shared" ca="1" si="454"/>
        <v>0</v>
      </c>
      <c r="R1002" s="306">
        <f t="shared" ca="1" si="455"/>
        <v>0</v>
      </c>
      <c r="S1002" s="307">
        <f t="shared" ca="1" si="456"/>
        <v>8.5499999999999989</v>
      </c>
      <c r="T1002" s="304">
        <f t="shared" ca="1" si="436"/>
        <v>83.875499999999988</v>
      </c>
      <c r="U1002" s="311">
        <f t="shared" ca="1" si="437"/>
        <v>0</v>
      </c>
      <c r="V1002" s="306">
        <f t="shared" ca="1" si="438"/>
        <v>1.2261900241656714</v>
      </c>
      <c r="W1002" s="304">
        <f t="shared" ca="1" si="439"/>
        <v>58.521489860004209</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2.9079178405814625</v>
      </c>
      <c r="AH1002" s="304">
        <f t="shared" ca="1" si="463"/>
        <v>-6.8445781762867304</v>
      </c>
    </row>
    <row r="1003" spans="1:34" x14ac:dyDescent="0.3">
      <c r="A1003" s="347">
        <f t="shared" ca="1" si="441"/>
        <v>1E-4</v>
      </c>
      <c r="B1003" s="304">
        <f t="shared" ca="1" si="442"/>
        <v>33.14880000000182</v>
      </c>
      <c r="D1003" s="306">
        <f t="shared" ca="1" si="443"/>
        <v>-0.74001059244749601</v>
      </c>
      <c r="E1003" s="307">
        <f t="shared" ca="1" si="444"/>
        <v>-3.0055022645727245</v>
      </c>
      <c r="F1003" s="304">
        <f t="shared" ca="1" si="445"/>
        <v>3.095264050010317</v>
      </c>
      <c r="G1003" s="306">
        <f t="shared" ca="1" si="446"/>
        <v>13.41719552956256</v>
      </c>
      <c r="H1003" s="307">
        <f t="shared" ca="1" si="447"/>
        <v>-123.37391312890188</v>
      </c>
      <c r="I1003" s="304">
        <f t="shared" ca="1" si="448"/>
        <v>124.10134397586651</v>
      </c>
      <c r="J1003" s="306">
        <f t="shared" ca="1" si="449"/>
        <v>764.67878961306644</v>
      </c>
      <c r="K1003" s="307">
        <f t="shared" ca="1" si="450"/>
        <v>-9.7221040931772862</v>
      </c>
      <c r="L1003" s="304">
        <f t="shared" ca="1" si="435"/>
        <v>764.74059039134499</v>
      </c>
      <c r="M1003" s="306">
        <f t="shared" ca="1" si="451"/>
        <v>-1.462469760193061</v>
      </c>
      <c r="N1003" s="304">
        <f t="shared" ca="1" si="452"/>
        <v>-83.793344924571997</v>
      </c>
      <c r="P1003" s="310">
        <f t="shared" ca="1" si="453"/>
        <v>23</v>
      </c>
      <c r="Q1003" s="304">
        <f t="shared" ca="1" si="454"/>
        <v>0</v>
      </c>
      <c r="R1003" s="306">
        <f t="shared" ca="1" si="455"/>
        <v>0</v>
      </c>
      <c r="S1003" s="307">
        <f t="shared" ca="1" si="456"/>
        <v>8.5499999999999989</v>
      </c>
      <c r="T1003" s="304">
        <f t="shared" ca="1" si="436"/>
        <v>83.875499999999988</v>
      </c>
      <c r="U1003" s="311">
        <f t="shared" ca="1" si="437"/>
        <v>0</v>
      </c>
      <c r="V1003" s="306">
        <f ca="1">Rho_moyen*(20000-Alt_rampe-pos_z)/(20000+Alt_rampe+pos_z)</f>
        <v>1.2261915369637337</v>
      </c>
      <c r="W1003" s="304">
        <f t="shared" ca="1" si="439"/>
        <v>58.521836310605039</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2.9078782262441134</v>
      </c>
      <c r="AH1003" s="304">
        <f t="shared" ca="1" si="463"/>
        <v>-6.8446186970765162</v>
      </c>
    </row>
    <row r="1004" spans="1:34" x14ac:dyDescent="0.3">
      <c r="A1004" s="348">
        <f t="shared" ca="1" si="441"/>
        <v>1E-4</v>
      </c>
      <c r="B1004" s="305">
        <f t="shared" ca="1" si="442"/>
        <v>33.148900000001824</v>
      </c>
      <c r="D1004" s="308">
        <f t="shared" ca="1" si="443"/>
        <v>-0.74000915794930555</v>
      </c>
      <c r="E1004" s="309">
        <f t="shared" ca="1" si="444"/>
        <v>-3.0054613491120499</v>
      </c>
      <c r="F1004" s="305">
        <f t="shared" ca="1" si="445"/>
        <v>3.095223978140397</v>
      </c>
      <c r="G1004" s="308">
        <f t="shared" ca="1" si="446"/>
        <v>13.417121528646765</v>
      </c>
      <c r="H1004" s="309">
        <f t="shared" ca="1" si="447"/>
        <v>-123.37421367503678</v>
      </c>
      <c r="I1004" s="305">
        <f t="shared" ca="1" si="448"/>
        <v>124.10163475977305</v>
      </c>
      <c r="J1004" s="308">
        <f t="shared" ca="1" si="449"/>
        <v>764.67878961306644</v>
      </c>
      <c r="K1004" s="309">
        <f t="shared" ca="1" si="450"/>
        <v>-9.7344414995174837</v>
      </c>
      <c r="L1004" s="305">
        <f t="shared" ca="1" si="435"/>
        <v>764.74074733559996</v>
      </c>
      <c r="M1004" s="308">
        <f t="shared" ca="1" si="451"/>
        <v>-1.4624706148203754</v>
      </c>
      <c r="N1004" s="305">
        <f t="shared" ca="1" si="452"/>
        <v>-83.793393891110171</v>
      </c>
      <c r="P1004" s="312">
        <f t="shared" ca="1" si="453"/>
        <v>23</v>
      </c>
      <c r="Q1004" s="305">
        <f t="shared" ca="1" si="454"/>
        <v>0</v>
      </c>
      <c r="R1004" s="308">
        <f t="shared" ca="1" si="455"/>
        <v>0</v>
      </c>
      <c r="S1004" s="309">
        <f t="shared" ca="1" si="456"/>
        <v>8.5499999999999989</v>
      </c>
      <c r="T1004" s="305">
        <f t="shared" ca="1" si="436"/>
        <v>83.875499999999988</v>
      </c>
      <c r="U1004" s="313">
        <f t="shared" ca="1" si="437"/>
        <v>0</v>
      </c>
      <c r="V1004" s="308">
        <f t="shared" ca="1" si="438"/>
        <v>1.2261930497673492</v>
      </c>
      <c r="W1004" s="305">
        <f ca="1">1/2*Rho*Sref*Cx*vit_xz^2</f>
        <v>58.52218275905409</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2.9078386121420703</v>
      </c>
      <c r="AH1004" s="305">
        <f t="shared" ca="1" si="463"/>
        <v>-6.844659217614625</v>
      </c>
    </row>
    <row r="1005" spans="1:34" x14ac:dyDescent="0.3">
      <c r="Y1005" s="303"/>
    </row>
    <row r="1010" spans="12:12" x14ac:dyDescent="0.3">
      <c r="L1010"/>
    </row>
    <row r="1034" spans="5:25" x14ac:dyDescent="0.3">
      <c r="E1034" s="300" t="s">
        <v>254</v>
      </c>
      <c r="J1034" s="301" t="s">
        <v>246</v>
      </c>
      <c r="T1034" s="300" t="s">
        <v>245</v>
      </c>
      <c r="Y1034" s="302" t="s">
        <v>248</v>
      </c>
    </row>
    <row r="1035" spans="5:25" x14ac:dyDescent="0.3">
      <c r="E1035" s="299" t="s">
        <v>258</v>
      </c>
    </row>
    <row r="1036" spans="5:25" x14ac:dyDescent="0.3">
      <c r="E1036" s="299"/>
      <c r="T1036" s="299" t="s">
        <v>251</v>
      </c>
    </row>
    <row r="1037" spans="5:25" x14ac:dyDescent="0.3">
      <c r="E1037" s="299"/>
      <c r="T1037" s="299" t="s">
        <v>255</v>
      </c>
    </row>
    <row r="1038" spans="5:25" x14ac:dyDescent="0.3">
      <c r="E1038" s="299"/>
      <c r="T1038" s="299" t="s">
        <v>256</v>
      </c>
    </row>
    <row r="1039" spans="5:25" x14ac:dyDescent="0.3">
      <c r="E1039" s="299"/>
      <c r="T1039" s="299" t="s">
        <v>262</v>
      </c>
    </row>
    <row r="1040" spans="5:25" x14ac:dyDescent="0.3">
      <c r="E1040" s="299" t="s">
        <v>257</v>
      </c>
      <c r="T1040" s="299" t="s">
        <v>247</v>
      </c>
    </row>
    <row r="1041" spans="5:20" x14ac:dyDescent="0.3">
      <c r="E1041" s="299"/>
      <c r="T1041" s="299" t="s">
        <v>263</v>
      </c>
    </row>
    <row r="1042" spans="5:20" x14ac:dyDescent="0.3">
      <c r="E1042" s="299"/>
      <c r="R1042" s="303"/>
      <c r="T1042" s="299"/>
    </row>
    <row r="1043" spans="5:20" x14ac:dyDescent="0.3">
      <c r="E1043" s="299"/>
    </row>
    <row r="1044" spans="5:20" x14ac:dyDescent="0.3">
      <c r="E1044" s="299"/>
    </row>
    <row r="1045" spans="5:20" x14ac:dyDescent="0.3">
      <c r="E1045" s="299" t="s">
        <v>260</v>
      </c>
      <c r="R1045" s="303"/>
      <c r="T1045" s="299"/>
    </row>
    <row r="1046" spans="5:20" x14ac:dyDescent="0.3">
      <c r="E1046" s="299"/>
    </row>
    <row r="1047" spans="5:20" x14ac:dyDescent="0.3">
      <c r="E1047" s="299"/>
    </row>
    <row r="1048" spans="5:20" x14ac:dyDescent="0.3">
      <c r="E1048" s="299"/>
      <c r="T1048" s="298" t="s">
        <v>253</v>
      </c>
    </row>
    <row r="1049" spans="5:20" x14ac:dyDescent="0.3">
      <c r="E1049" s="299"/>
    </row>
    <row r="1050" spans="5:20" x14ac:dyDescent="0.3">
      <c r="E1050" s="299" t="s">
        <v>261</v>
      </c>
    </row>
    <row r="1053" spans="5:20" x14ac:dyDescent="0.3">
      <c r="T1053" s="298" t="s">
        <v>266</v>
      </c>
    </row>
    <row r="1055" spans="5:20" x14ac:dyDescent="0.3">
      <c r="E1055" s="299" t="s">
        <v>250</v>
      </c>
    </row>
    <row r="1058" spans="5:20" x14ac:dyDescent="0.3">
      <c r="T1058" s="299" t="s">
        <v>267</v>
      </c>
    </row>
    <row r="1060" spans="5:20" x14ac:dyDescent="0.3">
      <c r="E1060" s="299" t="s">
        <v>259</v>
      </c>
    </row>
    <row r="1061" spans="5:20" x14ac:dyDescent="0.3">
      <c r="E1061" s="299"/>
    </row>
    <row r="1062" spans="5:20" x14ac:dyDescent="0.3">
      <c r="E1062" s="299"/>
    </row>
    <row r="1063" spans="5:20" x14ac:dyDescent="0.3">
      <c r="E1063" s="299"/>
    </row>
    <row r="1064" spans="5:20" x14ac:dyDescent="0.3">
      <c r="E1064" s="299"/>
    </row>
    <row r="1065" spans="5:20" x14ac:dyDescent="0.3">
      <c r="E1065" s="299" t="s">
        <v>249</v>
      </c>
    </row>
    <row r="1066" spans="5:20" x14ac:dyDescent="0.3">
      <c r="E1066" s="299"/>
    </row>
    <row r="1067" spans="5:20" x14ac:dyDescent="0.3">
      <c r="E1067" s="299"/>
    </row>
    <row r="1068" spans="5:20" x14ac:dyDescent="0.3">
      <c r="E1068" s="299"/>
    </row>
    <row r="1069" spans="5:20" x14ac:dyDescent="0.3">
      <c r="E1069" s="299"/>
    </row>
    <row r="1070" spans="5:20" x14ac:dyDescent="0.3">
      <c r="E1070" s="299" t="s">
        <v>252</v>
      </c>
    </row>
    <row r="1071" spans="5:20" x14ac:dyDescent="0.3">
      <c r="E1071" s="299"/>
    </row>
    <row r="1072" spans="5:20" x14ac:dyDescent="0.3">
      <c r="E1072" s="299"/>
    </row>
    <row r="1073" spans="5:5" x14ac:dyDescent="0.3">
      <c r="E1073" s="299"/>
    </row>
    <row r="1074" spans="5:5" x14ac:dyDescent="0.3">
      <c r="E1074" s="299"/>
    </row>
    <row r="1075" spans="5:5" x14ac:dyDescent="0.3">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10886</xdr:colOff>
                <xdr:row>1010</xdr:row>
                <xdr:rowOff>103414</xdr:rowOff>
              </from>
              <to>
                <xdr:col>20</xdr:col>
                <xdr:colOff>293914</xdr:colOff>
                <xdr:row>1013</xdr:row>
                <xdr:rowOff>27214</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27214</xdr:colOff>
                <xdr:row>1024</xdr:row>
                <xdr:rowOff>157843</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255814</xdr:colOff>
                <xdr:row>1006</xdr:row>
                <xdr:rowOff>27214</xdr:rowOff>
              </from>
              <to>
                <xdr:col>24</xdr:col>
                <xdr:colOff>152400</xdr:colOff>
                <xdr:row>1007</xdr:row>
                <xdr:rowOff>103414</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10886</xdr:colOff>
                <xdr:row>1017</xdr:row>
                <xdr:rowOff>163286</xdr:rowOff>
              </from>
              <to>
                <xdr:col>10</xdr:col>
                <xdr:colOff>582386</xdr:colOff>
                <xdr:row>1019</xdr:row>
                <xdr:rowOff>141514</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10886</xdr:colOff>
                <xdr:row>1014</xdr:row>
                <xdr:rowOff>179614</xdr:rowOff>
              </from>
              <to>
                <xdr:col>11</xdr:col>
                <xdr:colOff>266700</xdr:colOff>
                <xdr:row>1016</xdr:row>
                <xdr:rowOff>70757</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10886</xdr:colOff>
                <xdr:row>1016</xdr:row>
                <xdr:rowOff>76200</xdr:rowOff>
              </from>
              <to>
                <xdr:col>11</xdr:col>
                <xdr:colOff>234043</xdr:colOff>
                <xdr:row>1017</xdr:row>
                <xdr:rowOff>157843</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70757</xdr:rowOff>
              </from>
              <to>
                <xdr:col>17</xdr:col>
                <xdr:colOff>272143</xdr:colOff>
                <xdr:row>1024</xdr:row>
                <xdr:rowOff>163286</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234043</xdr:colOff>
                <xdr:row>1010</xdr:row>
                <xdr:rowOff>87086</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103414</xdr:rowOff>
              </from>
              <to>
                <xdr:col>12</xdr:col>
                <xdr:colOff>239486</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10886</xdr:colOff>
                <xdr:row>1006</xdr:row>
                <xdr:rowOff>103414</xdr:rowOff>
              </from>
              <to>
                <xdr:col>3</xdr:col>
                <xdr:colOff>538843</xdr:colOff>
                <xdr:row>1007</xdr:row>
                <xdr:rowOff>179614</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179614</xdr:rowOff>
              </from>
              <to>
                <xdr:col>16</xdr:col>
                <xdr:colOff>0</xdr:colOff>
                <xdr:row>1026</xdr:row>
                <xdr:rowOff>146957</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10886</xdr:colOff>
                <xdr:row>1013</xdr:row>
                <xdr:rowOff>32657</xdr:rowOff>
              </from>
              <to>
                <xdr:col>21</xdr:col>
                <xdr:colOff>27214</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10886</xdr:colOff>
                <xdr:row>1005</xdr:row>
                <xdr:rowOff>10886</xdr:rowOff>
              </from>
              <to>
                <xdr:col>10</xdr:col>
                <xdr:colOff>408214</xdr:colOff>
                <xdr:row>1006</xdr:row>
                <xdr:rowOff>87086</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10886</xdr:rowOff>
              </from>
              <to>
                <xdr:col>8</xdr:col>
                <xdr:colOff>190500</xdr:colOff>
                <xdr:row>1014</xdr:row>
                <xdr:rowOff>163286</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10886</xdr:colOff>
                <xdr:row>1018</xdr:row>
                <xdr:rowOff>48986</xdr:rowOff>
              </from>
              <to>
                <xdr:col>24</xdr:col>
                <xdr:colOff>1077686</xdr:colOff>
                <xdr:row>1019</xdr:row>
                <xdr:rowOff>141514</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146957</xdr:rowOff>
              </from>
              <to>
                <xdr:col>20</xdr:col>
                <xdr:colOff>576943</xdr:colOff>
                <xdr:row>1022</xdr:row>
                <xdr:rowOff>48986</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48986</xdr:rowOff>
              </from>
              <to>
                <xdr:col>19</xdr:col>
                <xdr:colOff>185057</xdr:colOff>
                <xdr:row>1019</xdr:row>
                <xdr:rowOff>141514</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10886</xdr:colOff>
                <xdr:row>1007</xdr:row>
                <xdr:rowOff>119743</xdr:rowOff>
              </from>
              <to>
                <xdr:col>37</xdr:col>
                <xdr:colOff>277586</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10886</xdr:colOff>
                <xdr:row>1010</xdr:row>
                <xdr:rowOff>87086</xdr:rowOff>
              </from>
              <to>
                <xdr:col>35</xdr:col>
                <xdr:colOff>723900</xdr:colOff>
                <xdr:row>1013</xdr:row>
                <xdr:rowOff>43543</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27214</xdr:rowOff>
              </from>
              <to>
                <xdr:col>11</xdr:col>
                <xdr:colOff>560614</xdr:colOff>
                <xdr:row>1038</xdr:row>
                <xdr:rowOff>27214</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27214</xdr:rowOff>
              </from>
              <to>
                <xdr:col>12</xdr:col>
                <xdr:colOff>32657</xdr:colOff>
                <xdr:row>1043</xdr:row>
                <xdr:rowOff>27214</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10886</xdr:colOff>
                <xdr:row>1014</xdr:row>
                <xdr:rowOff>119743</xdr:rowOff>
              </from>
              <to>
                <xdr:col>20</xdr:col>
                <xdr:colOff>337457</xdr:colOff>
                <xdr:row>1016</xdr:row>
                <xdr:rowOff>10886</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255814</xdr:colOff>
                <xdr:row>1007</xdr:row>
                <xdr:rowOff>114300</xdr:rowOff>
              </from>
              <to>
                <xdr:col>32</xdr:col>
                <xdr:colOff>163286</xdr:colOff>
                <xdr:row>1010</xdr:row>
                <xdr:rowOff>87086</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32657</xdr:rowOff>
              </from>
              <to>
                <xdr:col>12</xdr:col>
                <xdr:colOff>337457</xdr:colOff>
                <xdr:row>1058</xdr:row>
                <xdr:rowOff>48986</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32657</xdr:rowOff>
              </from>
              <to>
                <xdr:col>15</xdr:col>
                <xdr:colOff>48986</xdr:colOff>
                <xdr:row>1063</xdr:row>
                <xdr:rowOff>48986</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32657</xdr:rowOff>
              </from>
              <to>
                <xdr:col>16</xdr:col>
                <xdr:colOff>674914</xdr:colOff>
                <xdr:row>1068</xdr:row>
                <xdr:rowOff>48986</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32657</xdr:rowOff>
              </from>
              <to>
                <xdr:col>16</xdr:col>
                <xdr:colOff>108857</xdr:colOff>
                <xdr:row>1048</xdr:row>
                <xdr:rowOff>32657</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32657</xdr:rowOff>
              </from>
              <to>
                <xdr:col>16</xdr:col>
                <xdr:colOff>386443</xdr:colOff>
                <xdr:row>1053</xdr:row>
                <xdr:rowOff>48986</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32657</xdr:rowOff>
              </from>
              <to>
                <xdr:col>12</xdr:col>
                <xdr:colOff>413657</xdr:colOff>
                <xdr:row>1073</xdr:row>
                <xdr:rowOff>48986</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32657</xdr:rowOff>
              </from>
              <to>
                <xdr:col>32</xdr:col>
                <xdr:colOff>419100</xdr:colOff>
                <xdr:row>1056</xdr:row>
                <xdr:rowOff>32657</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27214</xdr:colOff>
                <xdr:row>1022</xdr:row>
                <xdr:rowOff>48986</xdr:rowOff>
              </from>
              <to>
                <xdr:col>32</xdr:col>
                <xdr:colOff>266700</xdr:colOff>
                <xdr:row>1024</xdr:row>
                <xdr:rowOff>141514</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27214</xdr:rowOff>
              </from>
              <to>
                <xdr:col>36</xdr:col>
                <xdr:colOff>163286</xdr:colOff>
                <xdr:row>1020</xdr:row>
                <xdr:rowOff>27214</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696686</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43543</xdr:rowOff>
              </from>
              <to>
                <xdr:col>35</xdr:col>
                <xdr:colOff>141514</xdr:colOff>
                <xdr:row>1023</xdr:row>
                <xdr:rowOff>43543</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70757</xdr:rowOff>
              </from>
              <to>
                <xdr:col>36</xdr:col>
                <xdr:colOff>48986</xdr:colOff>
                <xdr:row>1026</xdr:row>
                <xdr:rowOff>70757</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32657</xdr:rowOff>
              </from>
              <to>
                <xdr:col>34</xdr:col>
                <xdr:colOff>348343</xdr:colOff>
                <xdr:row>1051</xdr:row>
                <xdr:rowOff>87086</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defaultColWidth="11.07421875" defaultRowHeight="12.45" x14ac:dyDescent="0.3"/>
  <cols>
    <col min="1" max="1" width="2.15234375" customWidth="1"/>
    <col min="2" max="2" width="16.15234375" customWidth="1"/>
    <col min="3" max="4" width="11.3828125" customWidth="1"/>
  </cols>
  <sheetData>
    <row r="1" spans="1:13" x14ac:dyDescent="0.3">
      <c r="A1" s="51"/>
      <c r="B1" s="52"/>
      <c r="C1" s="53"/>
      <c r="D1" s="52"/>
      <c r="E1" s="72"/>
      <c r="F1" s="72"/>
      <c r="G1" s="72"/>
      <c r="H1" s="72"/>
      <c r="I1" s="72"/>
      <c r="J1" s="72"/>
      <c r="K1" s="72"/>
      <c r="L1" s="72"/>
      <c r="M1" s="73"/>
    </row>
    <row r="2" spans="1:13" ht="12.75" customHeight="1" x14ac:dyDescent="0.3">
      <c r="A2" s="56"/>
      <c r="B2" s="2"/>
      <c r="C2" s="598" t="s">
        <v>279</v>
      </c>
      <c r="D2" s="598"/>
      <c r="M2" s="75"/>
    </row>
    <row r="3" spans="1:13" ht="12.75" customHeight="1" x14ac:dyDescent="0.3">
      <c r="A3" s="56"/>
      <c r="B3" s="2"/>
      <c r="C3" s="598"/>
      <c r="D3" s="598"/>
      <c r="M3" s="75"/>
    </row>
    <row r="4" spans="1:13" x14ac:dyDescent="0.3">
      <c r="A4" s="56"/>
      <c r="B4" s="2"/>
      <c r="C4" s="603" t="str">
        <f>IF(Lang="Français","Abaques de performance",IF(Lang="English","Performance charts",""))</f>
        <v>Abaques de performance</v>
      </c>
      <c r="D4" s="603"/>
      <c r="M4" s="75"/>
    </row>
    <row r="5" spans="1:13" x14ac:dyDescent="0.3">
      <c r="A5" s="56"/>
      <c r="B5" s="2"/>
      <c r="C5" s="603" t="str">
        <f>IF(Lang="Français","Calcul analytique simple",IF(Lang="English","Analytical computation",""))</f>
        <v>Calcul analytique simple</v>
      </c>
      <c r="D5" s="603"/>
      <c r="M5" s="75"/>
    </row>
    <row r="6" spans="1:13" x14ac:dyDescent="0.3">
      <c r="A6" s="56"/>
      <c r="B6" s="87"/>
      <c r="C6" s="1"/>
      <c r="D6" s="1"/>
      <c r="M6" s="75"/>
    </row>
    <row r="7" spans="1:13" x14ac:dyDescent="0.3">
      <c r="A7" s="59"/>
      <c r="B7" s="6"/>
      <c r="C7" s="599" t="str">
        <f>IF(Lang="Français","Fusée",IF(Lang="English","Rocket",""))</f>
        <v>Fusée</v>
      </c>
      <c r="D7" s="599"/>
      <c r="M7" s="75"/>
    </row>
    <row r="8" spans="1:13" ht="15.45" x14ac:dyDescent="0.4">
      <c r="A8" s="59"/>
      <c r="B8" s="140" t="str">
        <f>IF(Lang="Français","Nom",IF(Lang="English","Name",""))</f>
        <v>Nom</v>
      </c>
      <c r="C8" s="600" t="str">
        <f>Nom</f>
        <v>Hellfire</v>
      </c>
      <c r="D8" s="600"/>
      <c r="M8" s="75"/>
    </row>
    <row r="9" spans="1:13" ht="15.45" x14ac:dyDescent="0.4">
      <c r="A9" s="59"/>
      <c r="B9" s="140" t="s">
        <v>4</v>
      </c>
      <c r="C9" s="600" t="str">
        <f>Club</f>
        <v>Acelspace</v>
      </c>
      <c r="D9" s="600"/>
      <c r="M9" s="75"/>
    </row>
    <row r="10" spans="1:13" ht="15.45" x14ac:dyDescent="0.4">
      <c r="A10" s="59"/>
      <c r="B10" s="140" t="s">
        <v>561</v>
      </c>
      <c r="C10" s="666" t="str">
        <f>Matricule</f>
        <v>FX10</v>
      </c>
      <c r="D10" s="667"/>
      <c r="M10" s="75"/>
    </row>
    <row r="11" spans="1:13" x14ac:dyDescent="0.3">
      <c r="A11" s="59"/>
      <c r="B11" s="140" t="str">
        <f>IF(Lang="Français","Masse sans propu",IF(Lang="English","Mass without M",""))</f>
        <v>Masse sans propu</v>
      </c>
      <c r="C11" s="662">
        <f>MasseSans</f>
        <v>7.9</v>
      </c>
      <c r="D11" s="662"/>
      <c r="M11" s="75"/>
    </row>
    <row r="12" spans="1:13" x14ac:dyDescent="0.3">
      <c r="A12" s="59"/>
      <c r="B12" s="140" t="str">
        <f>IF(Lang="Français","Masse totale",IF(Lang="English","Total mass",""))</f>
        <v>Masse totale</v>
      </c>
      <c r="C12" s="665" t="str">
        <f ca="1">MassePlein &amp; " kg ±" &amp; MasseSans &amp; " kg"</f>
        <v>9,532 kg ±7,9 kg</v>
      </c>
      <c r="D12" s="665"/>
      <c r="M12" s="75"/>
    </row>
    <row r="13" spans="1:13" x14ac:dyDescent="0.3">
      <c r="A13" s="59"/>
      <c r="B13" s="227" t="str">
        <f>IF(Lang="Français","Propulseur",IF(Lang="English","Motor",""))</f>
        <v>Propulseur</v>
      </c>
      <c r="C13" s="628" t="str">
        <f>Propu</f>
        <v>Pro54-5G WT</v>
      </c>
      <c r="D13" s="629"/>
      <c r="M13" s="75"/>
    </row>
    <row r="14" spans="1:13" x14ac:dyDescent="0.3">
      <c r="A14" s="59"/>
      <c r="B14" s="1"/>
      <c r="C14" s="1"/>
      <c r="D14" s="1"/>
      <c r="M14" s="75"/>
    </row>
    <row r="15" spans="1:13" x14ac:dyDescent="0.3">
      <c r="A15" s="74"/>
      <c r="C15" s="599" t="str">
        <f>IF(Lang="Français","Traînée Aérdynamique",IF(Lang="English","Drag",""))</f>
        <v>Traînée Aérdynamique</v>
      </c>
      <c r="D15" s="599"/>
      <c r="M15" s="75"/>
    </row>
    <row r="16" spans="1:13" x14ac:dyDescent="0.3">
      <c r="A16" s="74"/>
      <c r="B16" s="139" t="str">
        <f>IF(Lang="Français","Diamètre Ø",IF(Lang="English","Diameter Ø",""))</f>
        <v>Diamètre Ø</v>
      </c>
      <c r="C16" s="663">
        <f>D_ref</f>
        <v>100</v>
      </c>
      <c r="D16" s="663"/>
      <c r="M16" s="75"/>
    </row>
    <row r="17" spans="1:13" x14ac:dyDescent="0.3">
      <c r="A17" s="74"/>
      <c r="B17" s="140" t="s">
        <v>5</v>
      </c>
      <c r="C17" s="664">
        <f>Cx</f>
        <v>0.7</v>
      </c>
      <c r="D17" s="664"/>
      <c r="M17" s="75"/>
    </row>
    <row r="18" spans="1:13" x14ac:dyDescent="0.3">
      <c r="A18" s="74"/>
      <c r="M18" s="75"/>
    </row>
    <row r="19" spans="1:13" x14ac:dyDescent="0.3">
      <c r="A19" s="74"/>
      <c r="M19" s="75"/>
    </row>
    <row r="20" spans="1:13" x14ac:dyDescent="0.3">
      <c r="A20" s="74"/>
      <c r="M20" s="75"/>
    </row>
    <row r="21" spans="1:13" x14ac:dyDescent="0.3">
      <c r="A21" s="74"/>
      <c r="M21" s="75"/>
    </row>
    <row r="22" spans="1:13" x14ac:dyDescent="0.3">
      <c r="A22" s="74"/>
      <c r="M22" s="75"/>
    </row>
    <row r="23" spans="1:13" x14ac:dyDescent="0.3">
      <c r="A23" s="74"/>
      <c r="M23" s="75"/>
    </row>
    <row r="24" spans="1:13" x14ac:dyDescent="0.3">
      <c r="A24" s="74"/>
      <c r="M24" s="75"/>
    </row>
    <row r="25" spans="1:13" x14ac:dyDescent="0.3">
      <c r="A25" s="74"/>
      <c r="M25" s="75"/>
    </row>
    <row r="26" spans="1:13" x14ac:dyDescent="0.3">
      <c r="A26" s="74"/>
      <c r="M26" s="75"/>
    </row>
    <row r="27" spans="1:13" x14ac:dyDescent="0.3">
      <c r="A27" s="74"/>
      <c r="M27" s="75"/>
    </row>
    <row r="28" spans="1:13" x14ac:dyDescent="0.3">
      <c r="A28" s="74"/>
      <c r="M28" s="75"/>
    </row>
    <row r="29" spans="1:13" x14ac:dyDescent="0.3">
      <c r="A29" s="74"/>
      <c r="M29" s="75"/>
    </row>
    <row r="30" spans="1:13" x14ac:dyDescent="0.3">
      <c r="A30" s="74"/>
      <c r="M30" s="75"/>
    </row>
    <row r="31" spans="1:13" x14ac:dyDescent="0.3">
      <c r="A31" s="74"/>
      <c r="M31" s="75"/>
    </row>
    <row r="32" spans="1:13" x14ac:dyDescent="0.3">
      <c r="A32" s="74"/>
      <c r="M32" s="75"/>
    </row>
    <row r="33" spans="1:13" x14ac:dyDescent="0.3">
      <c r="A33" s="74"/>
      <c r="M33" s="75"/>
    </row>
    <row r="34" spans="1:13" x14ac:dyDescent="0.3">
      <c r="A34" s="74"/>
      <c r="M34" s="75"/>
    </row>
    <row r="35" spans="1:13" x14ac:dyDescent="0.3">
      <c r="A35" s="74"/>
      <c r="M35" s="75"/>
    </row>
    <row r="36" spans="1:13" x14ac:dyDescent="0.3">
      <c r="A36" s="74"/>
      <c r="M36" s="75"/>
    </row>
    <row r="37" spans="1:13" ht="12.9" thickBot="1" x14ac:dyDescent="0.35">
      <c r="A37" s="77"/>
      <c r="B37" s="78"/>
      <c r="C37" s="78"/>
      <c r="D37" s="78"/>
      <c r="E37" s="78"/>
      <c r="F37" s="78"/>
      <c r="G37" s="78"/>
      <c r="H37" s="78"/>
      <c r="I37" s="78"/>
      <c r="J37" s="78"/>
      <c r="K37" s="78"/>
      <c r="L37" s="78"/>
      <c r="M37" s="79"/>
    </row>
    <row r="41" spans="1:13" x14ac:dyDescent="0.3">
      <c r="B41" s="419" t="s">
        <v>61</v>
      </c>
      <c r="C41" s="170" t="s">
        <v>283</v>
      </c>
      <c r="D41" s="134" t="s">
        <v>280</v>
      </c>
      <c r="E41" s="134" t="s">
        <v>284</v>
      </c>
      <c r="F41" s="134" t="s">
        <v>285</v>
      </c>
      <c r="G41" s="134" t="s">
        <v>13</v>
      </c>
      <c r="H41" s="134" t="s">
        <v>281</v>
      </c>
      <c r="I41" s="134" t="s">
        <v>282</v>
      </c>
      <c r="J41" s="134" t="s">
        <v>297</v>
      </c>
      <c r="K41" s="134" t="s">
        <v>298</v>
      </c>
      <c r="L41" s="134" t="s">
        <v>300</v>
      </c>
      <c r="M41" s="134" t="s">
        <v>288</v>
      </c>
    </row>
    <row r="42" spans="1:13" x14ac:dyDescent="0.3">
      <c r="B42" s="420" t="s">
        <v>289</v>
      </c>
      <c r="C42" s="170" t="s">
        <v>290</v>
      </c>
      <c r="D42" s="134" t="s">
        <v>291</v>
      </c>
      <c r="E42" s="134" t="s">
        <v>292</v>
      </c>
      <c r="F42" s="134" t="s">
        <v>293</v>
      </c>
      <c r="G42" s="134" t="s">
        <v>294</v>
      </c>
      <c r="H42" s="134" t="s">
        <v>295</v>
      </c>
      <c r="I42" s="134" t="s">
        <v>296</v>
      </c>
      <c r="J42" s="134" t="s">
        <v>286</v>
      </c>
      <c r="K42" s="134" t="s">
        <v>287</v>
      </c>
      <c r="L42" s="134"/>
      <c r="M42" s="134"/>
    </row>
    <row r="43" spans="1:13" x14ac:dyDescent="0.3">
      <c r="B43" s="425">
        <f t="shared" ref="B43:B51" ca="1" si="0">MAX(D_ref*0.5, Diam_propu)</f>
        <v>54</v>
      </c>
      <c r="C43" s="403">
        <f t="shared" ref="C43:C69" ca="1" si="1">1/2*Rho_moyen*PI()*D_var^2/4*Cx/10^6</f>
        <v>9.8193227281520882E-4</v>
      </c>
      <c r="D43" s="400">
        <f ca="1">MpropuPlein+0*MasseSans</f>
        <v>1.6319999999999999</v>
      </c>
      <c r="E43" s="400">
        <f t="shared" ref="E43:E69" ca="1" si="2">m_var - 0.5*m_poudre</f>
        <v>1.141</v>
      </c>
      <c r="F43" s="400">
        <f t="shared" ref="F43:F69" ca="1" si="3">m_var - m_poudre</f>
        <v>0.65</v>
      </c>
      <c r="G43" s="407">
        <f t="shared" ref="G43:G69" ca="1" si="4">MAX(0, (I_total/Temps_fin_propu)/m_prop-g)</f>
        <v>1020.3714198071864</v>
      </c>
      <c r="H43" s="406">
        <f t="shared" ref="H43:H69" ca="1" si="5">Q_var/m_prop</f>
        <v>8.6058919615706296E-4</v>
      </c>
      <c r="I43" s="403">
        <f t="shared" ref="I43:I69" ca="1" si="6">Q_var/m_bal</f>
        <v>1.5106650351003213E-3</v>
      </c>
      <c r="J43" s="403">
        <f t="shared" ref="J43:J69" ca="1" si="7">1/(2*b_prop)*LN(  ((EXP(2*SQRT(a_prop*b_prop)*Temps_fin_propu)+1)^2)  /  (((1+1)^2)*EXP(2*SQRT(a_prop*b_prop)*Temps_fin_propu)))</f>
        <v>1092.7312787053243</v>
      </c>
      <c r="K43" s="410">
        <f t="shared" ref="K43:K69" ca="1" si="8">SQRT(a_prop/b_prop)  *  (EXP(2*SQRT(a_prop*b_prop)*Temps_fin_propu)-1)/(EXP(2*SQRT(a_prop*b_prop)*Temps_fin_propu)+1)</f>
        <v>1002.4406316061013</v>
      </c>
      <c r="L43" s="413">
        <f t="shared" ref="L43:L69" ca="1" si="9">alt_prop + 1/(2*b_bal) * LN(1+b_bal/g*V_prop^2)</f>
        <v>2763.5913417554384</v>
      </c>
      <c r="M43" s="416">
        <f t="shared" ref="M43:M69" ca="1" si="10">Temps_fin_propu + ATAN(SQRT(b_bal/g)*V_prop)/SQRT(b_bal*g)</f>
        <v>13.944383064217877</v>
      </c>
    </row>
    <row r="44" spans="1:13" x14ac:dyDescent="0.3">
      <c r="B44" s="426">
        <f t="shared" ca="1" si="0"/>
        <v>54</v>
      </c>
      <c r="C44" s="404">
        <f t="shared" ca="1" si="1"/>
        <v>9.8193227281520882E-4</v>
      </c>
      <c r="D44" s="401">
        <f ca="1">MpropuPlein+0.25*MasseSans</f>
        <v>3.6070000000000002</v>
      </c>
      <c r="E44" s="401">
        <f t="shared" ca="1" si="2"/>
        <v>3.1160000000000001</v>
      </c>
      <c r="F44" s="401">
        <f t="shared" ca="1" si="3"/>
        <v>2.6250000000000004</v>
      </c>
      <c r="G44" s="408">
        <f t="shared" ca="1" si="4"/>
        <v>367.41625160462121</v>
      </c>
      <c r="H44" s="404">
        <f t="shared" ca="1" si="5"/>
        <v>3.151258898636742E-4</v>
      </c>
      <c r="I44" s="404">
        <f t="shared" ca="1" si="6"/>
        <v>3.7406943726293662E-4</v>
      </c>
      <c r="J44" s="404">
        <f t="shared" ca="1" si="7"/>
        <v>503.7078087910586</v>
      </c>
      <c r="K44" s="411">
        <f t="shared" ca="1" si="8"/>
        <v>563.15317590625011</v>
      </c>
      <c r="L44" s="414">
        <f t="shared" ca="1" si="9"/>
        <v>3941.6824825404242</v>
      </c>
      <c r="M44" s="417">
        <f t="shared" ca="1" si="10"/>
        <v>23.008096042969171</v>
      </c>
    </row>
    <row r="45" spans="1:13" x14ac:dyDescent="0.3">
      <c r="B45" s="426">
        <f t="shared" ca="1" si="0"/>
        <v>54</v>
      </c>
      <c r="C45" s="404">
        <f t="shared" ca="1" si="1"/>
        <v>9.8193227281520882E-4</v>
      </c>
      <c r="D45" s="401">
        <f ca="1">MpropuPlein+0.5*MasseSans</f>
        <v>5.5819999999999999</v>
      </c>
      <c r="E45" s="401">
        <f t="shared" ca="1" si="2"/>
        <v>5.0910000000000002</v>
      </c>
      <c r="F45" s="401">
        <f t="shared" ca="1" si="3"/>
        <v>4.5999999999999996</v>
      </c>
      <c r="G45" s="408">
        <f t="shared" ca="1" si="4"/>
        <v>221.07528776271846</v>
      </c>
      <c r="H45" s="404">
        <f t="shared" ca="1" si="5"/>
        <v>1.9287610937246294E-4</v>
      </c>
      <c r="I45" s="404">
        <f t="shared" ca="1" si="6"/>
        <v>2.1346353756852368E-4</v>
      </c>
      <c r="J45" s="404">
        <f t="shared" ca="1" si="7"/>
        <v>313.10059051690712</v>
      </c>
      <c r="K45" s="411">
        <f t="shared" ca="1" si="8"/>
        <v>361.11503482577768</v>
      </c>
      <c r="L45" s="414">
        <f t="shared" ca="1" si="9"/>
        <v>3463.1422683490391</v>
      </c>
      <c r="M45" s="417">
        <f t="shared" ca="1" si="10"/>
        <v>24.318833313866634</v>
      </c>
    </row>
    <row r="46" spans="1:13" x14ac:dyDescent="0.3">
      <c r="B46" s="426">
        <f t="shared" ca="1" si="0"/>
        <v>54</v>
      </c>
      <c r="C46" s="404">
        <f t="shared" ca="1" si="1"/>
        <v>9.8193227281520882E-4</v>
      </c>
      <c r="D46" s="401">
        <f ca="1">MpropuPlein+0.75*MasseSans</f>
        <v>7.5570000000000004</v>
      </c>
      <c r="E46" s="401">
        <f t="shared" ca="1" si="2"/>
        <v>7.0660000000000007</v>
      </c>
      <c r="F46" s="401">
        <f t="shared" ca="1" si="3"/>
        <v>6.5750000000000002</v>
      </c>
      <c r="G46" s="408">
        <f t="shared" ca="1" si="4"/>
        <v>156.54111803000276</v>
      </c>
      <c r="H46" s="404">
        <f t="shared" ca="1" si="5"/>
        <v>1.3896579009555743E-4</v>
      </c>
      <c r="I46" s="404">
        <f t="shared" ca="1" si="6"/>
        <v>1.4934331145478462E-4</v>
      </c>
      <c r="J46" s="404">
        <f t="shared" ca="1" si="7"/>
        <v>223.87073974267219</v>
      </c>
      <c r="K46" s="411">
        <f t="shared" ca="1" si="8"/>
        <v>260.67979777665494</v>
      </c>
      <c r="L46" s="414">
        <f t="shared" ca="1" si="9"/>
        <v>2601.7853649238514</v>
      </c>
      <c r="M46" s="417">
        <f t="shared" ca="1" si="10"/>
        <v>22.440839031814708</v>
      </c>
    </row>
    <row r="47" spans="1:13" x14ac:dyDescent="0.3">
      <c r="B47" s="426">
        <f t="shared" ca="1" si="0"/>
        <v>54</v>
      </c>
      <c r="C47" s="404">
        <f t="shared" ca="1" si="1"/>
        <v>9.8193227281520882E-4</v>
      </c>
      <c r="D47" s="401">
        <f ca="1">MpropuPlein+1*MasseSans</f>
        <v>9.532</v>
      </c>
      <c r="E47" s="401">
        <f t="shared" ca="1" si="2"/>
        <v>9.0410000000000004</v>
      </c>
      <c r="F47" s="401">
        <f t="shared" ca="1" si="3"/>
        <v>8.5500000000000007</v>
      </c>
      <c r="G47" s="408">
        <f t="shared" ca="1" si="4"/>
        <v>120.20183497400726</v>
      </c>
      <c r="H47" s="404">
        <f t="shared" ca="1" si="5"/>
        <v>1.0860881238969238E-4</v>
      </c>
      <c r="I47" s="404">
        <f t="shared" ca="1" si="6"/>
        <v>1.1484587986142793E-4</v>
      </c>
      <c r="J47" s="404">
        <f t="shared" ca="1" si="7"/>
        <v>172.6103170413397</v>
      </c>
      <c r="K47" s="411">
        <f t="shared" ca="1" si="8"/>
        <v>201.81144002758936</v>
      </c>
      <c r="L47" s="414">
        <f t="shared" ca="1" si="9"/>
        <v>1870.010649398522</v>
      </c>
      <c r="M47" s="417">
        <f t="shared" ca="1" si="10"/>
        <v>19.704457053367843</v>
      </c>
    </row>
    <row r="48" spans="1:13" x14ac:dyDescent="0.3">
      <c r="B48" s="426">
        <f t="shared" ca="1" si="0"/>
        <v>54</v>
      </c>
      <c r="C48" s="404">
        <f t="shared" ca="1" si="1"/>
        <v>9.8193227281520882E-4</v>
      </c>
      <c r="D48" s="401">
        <f ca="1">MpropuPlein+1.25*MasseSans</f>
        <v>11.507</v>
      </c>
      <c r="E48" s="401">
        <f t="shared" ca="1" si="2"/>
        <v>11.016</v>
      </c>
      <c r="F48" s="401">
        <f t="shared" ca="1" si="3"/>
        <v>10.525</v>
      </c>
      <c r="G48" s="408">
        <f t="shared" ca="1" si="4"/>
        <v>96.8927051561365</v>
      </c>
      <c r="H48" s="404">
        <f t="shared" ca="1" si="5"/>
        <v>8.9136916559114814E-5</v>
      </c>
      <c r="I48" s="404">
        <f t="shared" ca="1" si="6"/>
        <v>9.3295227820922453E-5</v>
      </c>
      <c r="J48" s="404">
        <f t="shared" ca="1" si="7"/>
        <v>139.43136253226933</v>
      </c>
      <c r="K48" s="411">
        <f t="shared" ca="1" si="8"/>
        <v>163.36068804019123</v>
      </c>
      <c r="L48" s="414">
        <f t="shared" ca="1" si="9"/>
        <v>1351.583943337833</v>
      </c>
      <c r="M48" s="417">
        <f t="shared" ca="1" si="10"/>
        <v>17.125686168862121</v>
      </c>
    </row>
    <row r="49" spans="2:13" x14ac:dyDescent="0.3">
      <c r="B49" s="426">
        <f t="shared" ca="1" si="0"/>
        <v>54</v>
      </c>
      <c r="C49" s="404">
        <f t="shared" ca="1" si="1"/>
        <v>9.8193227281520882E-4</v>
      </c>
      <c r="D49" s="401">
        <f ca="1">MpropuPlein+1.5*MasseSans</f>
        <v>13.482000000000001</v>
      </c>
      <c r="E49" s="401">
        <f t="shared" ca="1" si="2"/>
        <v>12.991000000000001</v>
      </c>
      <c r="F49" s="401">
        <f t="shared" ca="1" si="3"/>
        <v>12.500000000000002</v>
      </c>
      <c r="G49" s="408">
        <f t="shared" ca="1" si="4"/>
        <v>80.670871372488605</v>
      </c>
      <c r="H49" s="404">
        <f t="shared" ca="1" si="5"/>
        <v>7.558558023363935E-5</v>
      </c>
      <c r="I49" s="404">
        <f t="shared" ca="1" si="6"/>
        <v>7.8554581825216688E-5</v>
      </c>
      <c r="J49" s="404">
        <f t="shared" ca="1" si="7"/>
        <v>116.22864635190371</v>
      </c>
      <c r="K49" s="411">
        <f t="shared" ca="1" si="8"/>
        <v>136.34055921215935</v>
      </c>
      <c r="L49" s="414">
        <f t="shared" ca="1" si="9"/>
        <v>999.45262542184219</v>
      </c>
      <c r="M49" s="417">
        <f t="shared" ca="1" si="10"/>
        <v>14.964251038061555</v>
      </c>
    </row>
    <row r="50" spans="2:13" x14ac:dyDescent="0.3">
      <c r="B50" s="426">
        <f t="shared" ca="1" si="0"/>
        <v>54</v>
      </c>
      <c r="C50" s="404">
        <f t="shared" ca="1" si="1"/>
        <v>9.8193227281520882E-4</v>
      </c>
      <c r="D50" s="401">
        <f ca="1">MpropuPlein+1.75*MasseSans</f>
        <v>15.457000000000001</v>
      </c>
      <c r="E50" s="401">
        <f t="shared" ca="1" si="2"/>
        <v>14.966000000000001</v>
      </c>
      <c r="F50" s="401">
        <f t="shared" ca="1" si="3"/>
        <v>14.475000000000001</v>
      </c>
      <c r="G50" s="408">
        <f t="shared" ca="1" si="4"/>
        <v>68.730491781371072</v>
      </c>
      <c r="H50" s="404">
        <f t="shared" ca="1" si="5"/>
        <v>6.561086949186214E-5</v>
      </c>
      <c r="I50" s="404">
        <f t="shared" ca="1" si="6"/>
        <v>6.7836426446646542E-5</v>
      </c>
      <c r="J50" s="404">
        <f t="shared" ca="1" si="7"/>
        <v>99.100587993185727</v>
      </c>
      <c r="K50" s="411">
        <f t="shared" ca="1" si="8"/>
        <v>116.33689312521123</v>
      </c>
      <c r="L50" s="414">
        <f t="shared" ca="1" si="9"/>
        <v>758.52322128593767</v>
      </c>
      <c r="M50" s="417">
        <f t="shared" ca="1" si="10"/>
        <v>13.208529296665432</v>
      </c>
    </row>
    <row r="51" spans="2:13" x14ac:dyDescent="0.3">
      <c r="B51" s="427">
        <f t="shared" ca="1" si="0"/>
        <v>54</v>
      </c>
      <c r="C51" s="405">
        <f t="shared" ca="1" si="1"/>
        <v>9.8193227281520882E-4</v>
      </c>
      <c r="D51" s="402">
        <f ca="1">MpropuPlein+2*MasseSans</f>
        <v>17.432000000000002</v>
      </c>
      <c r="E51" s="402">
        <f t="shared" ca="1" si="2"/>
        <v>16.941000000000003</v>
      </c>
      <c r="F51" s="402">
        <f t="shared" ca="1" si="3"/>
        <v>16.450000000000003</v>
      </c>
      <c r="G51" s="409">
        <f t="shared" ca="1" si="4"/>
        <v>59.57415677941087</v>
      </c>
      <c r="H51" s="405">
        <f t="shared" ca="1" si="5"/>
        <v>5.7961883762186922E-5</v>
      </c>
      <c r="I51" s="405">
        <f t="shared" ca="1" si="6"/>
        <v>5.9691931478128186E-5</v>
      </c>
      <c r="J51" s="405">
        <f t="shared" ca="1" si="7"/>
        <v>85.941859579851311</v>
      </c>
      <c r="K51" s="412">
        <f t="shared" ca="1" si="8"/>
        <v>100.94051921062774</v>
      </c>
      <c r="L51" s="415">
        <f t="shared" ca="1" si="9"/>
        <v>589.79589701759937</v>
      </c>
      <c r="M51" s="418">
        <f t="shared" ca="1" si="10"/>
        <v>11.784485401490043</v>
      </c>
    </row>
    <row r="52" spans="2:13" x14ac:dyDescent="0.3">
      <c r="B52" s="425">
        <f t="shared" ref="B52:B60" si="11">D_ref</f>
        <v>100</v>
      </c>
      <c r="C52" s="403">
        <f t="shared" si="1"/>
        <v>3.3673946255665596E-3</v>
      </c>
      <c r="D52" s="400">
        <f ca="1">MpropuPlein+0*MasseSans</f>
        <v>1.6319999999999999</v>
      </c>
      <c r="E52" s="400">
        <f t="shared" ca="1" si="2"/>
        <v>1.141</v>
      </c>
      <c r="F52" s="400">
        <f t="shared" ca="1" si="3"/>
        <v>0.65</v>
      </c>
      <c r="G52" s="407">
        <f t="shared" ca="1" si="4"/>
        <v>1020.3714198071864</v>
      </c>
      <c r="H52" s="403">
        <f t="shared" ca="1" si="5"/>
        <v>2.9512661047910249E-3</v>
      </c>
      <c r="I52" s="403">
        <f t="shared" ca="1" si="6"/>
        <v>5.1806071162562453E-3</v>
      </c>
      <c r="J52" s="403">
        <f t="shared" ca="1" si="7"/>
        <v>765.65703336903414</v>
      </c>
      <c r="K52" s="410">
        <f t="shared" ca="1" si="8"/>
        <v>584.78447067639161</v>
      </c>
      <c r="L52" s="413">
        <f t="shared" ca="1" si="9"/>
        <v>1267.6998729939087</v>
      </c>
      <c r="M52" s="416">
        <f t="shared" ca="1" si="10"/>
        <v>8.3383138307782101</v>
      </c>
    </row>
    <row r="53" spans="2:13" x14ac:dyDescent="0.3">
      <c r="B53" s="426">
        <f t="shared" si="11"/>
        <v>100</v>
      </c>
      <c r="C53" s="404">
        <f t="shared" si="1"/>
        <v>3.3673946255665596E-3</v>
      </c>
      <c r="D53" s="401">
        <f ca="1">MpropuPlein+0.25*MasseSans</f>
        <v>3.6070000000000002</v>
      </c>
      <c r="E53" s="401">
        <f t="shared" ca="1" si="2"/>
        <v>3.1160000000000001</v>
      </c>
      <c r="F53" s="401">
        <f t="shared" ca="1" si="3"/>
        <v>2.6250000000000004</v>
      </c>
      <c r="G53" s="408">
        <f t="shared" ca="1" si="4"/>
        <v>367.41625160462121</v>
      </c>
      <c r="H53" s="404">
        <f t="shared" ca="1" si="5"/>
        <v>1.0806786346490883E-3</v>
      </c>
      <c r="I53" s="404">
        <f t="shared" ca="1" si="6"/>
        <v>1.282817000215832E-3</v>
      </c>
      <c r="J53" s="404">
        <f t="shared" ca="1" si="7"/>
        <v>452.53451854484388</v>
      </c>
      <c r="K53" s="411">
        <f t="shared" ca="1" si="8"/>
        <v>460.58847833172933</v>
      </c>
      <c r="L53" s="414">
        <f t="shared" ca="1" si="9"/>
        <v>1761.4991123412567</v>
      </c>
      <c r="M53" s="417">
        <f t="shared" ca="1" si="10"/>
        <v>14.029850368851879</v>
      </c>
    </row>
    <row r="54" spans="2:13" x14ac:dyDescent="0.3">
      <c r="B54" s="426">
        <f t="shared" si="11"/>
        <v>100</v>
      </c>
      <c r="C54" s="404">
        <f t="shared" si="1"/>
        <v>3.3673946255665596E-3</v>
      </c>
      <c r="D54" s="401">
        <f ca="1">MpropuPlein+0.5*MasseSans</f>
        <v>5.5819999999999999</v>
      </c>
      <c r="E54" s="401">
        <f t="shared" ca="1" si="2"/>
        <v>5.0910000000000002</v>
      </c>
      <c r="F54" s="401">
        <f t="shared" ca="1" si="3"/>
        <v>4.5999999999999996</v>
      </c>
      <c r="G54" s="408">
        <f t="shared" ca="1" si="4"/>
        <v>221.07528776271846</v>
      </c>
      <c r="H54" s="404">
        <f t="shared" ca="1" si="5"/>
        <v>6.6144070429514034E-4</v>
      </c>
      <c r="I54" s="404">
        <f t="shared" ca="1" si="6"/>
        <v>7.3204230990577392E-4</v>
      </c>
      <c r="J54" s="404">
        <f t="shared" ca="1" si="7"/>
        <v>299.20296357602143</v>
      </c>
      <c r="K54" s="411">
        <f t="shared" ca="1" si="8"/>
        <v>330.52867836763897</v>
      </c>
      <c r="L54" s="414">
        <f t="shared" ca="1" si="9"/>
        <v>1811.4216481154042</v>
      </c>
      <c r="M54" s="417">
        <f t="shared" ca="1" si="10"/>
        <v>16.260699138386499</v>
      </c>
    </row>
    <row r="55" spans="2:13" x14ac:dyDescent="0.3">
      <c r="B55" s="426">
        <f t="shared" si="11"/>
        <v>100</v>
      </c>
      <c r="C55" s="404">
        <f t="shared" si="1"/>
        <v>3.3673946255665596E-3</v>
      </c>
      <c r="D55" s="401">
        <f ca="1">MpropuPlein+0.75*MasseSans</f>
        <v>7.5570000000000004</v>
      </c>
      <c r="E55" s="401">
        <f t="shared" ca="1" si="2"/>
        <v>7.0660000000000007</v>
      </c>
      <c r="F55" s="401">
        <f t="shared" ca="1" si="3"/>
        <v>6.5750000000000002</v>
      </c>
      <c r="G55" s="408">
        <f t="shared" ca="1" si="4"/>
        <v>156.54111803000276</v>
      </c>
      <c r="H55" s="404">
        <f t="shared" ca="1" si="5"/>
        <v>4.7656306617132173E-4</v>
      </c>
      <c r="I55" s="404">
        <f t="shared" ca="1" si="6"/>
        <v>5.1215127385042733E-4</v>
      </c>
      <c r="J55" s="404">
        <f t="shared" ca="1" si="7"/>
        <v>218.51248565905397</v>
      </c>
      <c r="K55" s="411">
        <f t="shared" ca="1" si="8"/>
        <v>248.51181291239615</v>
      </c>
      <c r="L55" s="414">
        <f t="shared" ca="1" si="9"/>
        <v>1625.1596448032601</v>
      </c>
      <c r="M55" s="417">
        <f t="shared" ca="1" si="10"/>
        <v>16.692041278010564</v>
      </c>
    </row>
    <row r="56" spans="2:13" x14ac:dyDescent="0.3">
      <c r="B56" s="426">
        <f t="shared" si="11"/>
        <v>100</v>
      </c>
      <c r="C56" s="404">
        <f t="shared" si="1"/>
        <v>3.3673946255665596E-3</v>
      </c>
      <c r="D56" s="401">
        <f ca="1">MpropuPlein+1*MasseSans</f>
        <v>9.532</v>
      </c>
      <c r="E56" s="401">
        <f t="shared" ca="1" si="2"/>
        <v>9.0410000000000004</v>
      </c>
      <c r="F56" s="401">
        <f t="shared" ca="1" si="3"/>
        <v>8.5500000000000007</v>
      </c>
      <c r="G56" s="408">
        <f t="shared" ca="1" si="4"/>
        <v>120.20183497400726</v>
      </c>
      <c r="H56" s="404">
        <f t="shared" ca="1" si="5"/>
        <v>3.7245820435422624E-4</v>
      </c>
      <c r="I56" s="404">
        <f t="shared" ca="1" si="6"/>
        <v>3.9384732462766775E-4</v>
      </c>
      <c r="J56" s="404">
        <f t="shared" ca="1" si="7"/>
        <v>170.07047363960808</v>
      </c>
      <c r="K56" s="411">
        <f t="shared" ca="1" si="8"/>
        <v>195.96350488168471</v>
      </c>
      <c r="L56" s="414">
        <f t="shared" ca="1" si="9"/>
        <v>1354.3444830088661</v>
      </c>
      <c r="M56" s="417">
        <f t="shared" ca="1" si="10"/>
        <v>16.063183227233612</v>
      </c>
    </row>
    <row r="57" spans="2:13" x14ac:dyDescent="0.3">
      <c r="B57" s="426">
        <f t="shared" si="11"/>
        <v>100</v>
      </c>
      <c r="C57" s="404">
        <f t="shared" si="1"/>
        <v>3.3673946255665596E-3</v>
      </c>
      <c r="D57" s="401">
        <f ca="1">MpropuPlein+1.25*MasseSans</f>
        <v>11.507</v>
      </c>
      <c r="E57" s="401">
        <f t="shared" ca="1" si="2"/>
        <v>11.016</v>
      </c>
      <c r="F57" s="401">
        <f t="shared" ca="1" si="3"/>
        <v>10.525</v>
      </c>
      <c r="G57" s="408">
        <f t="shared" ca="1" si="4"/>
        <v>96.8927051561365</v>
      </c>
      <c r="H57" s="404">
        <f t="shared" ca="1" si="5"/>
        <v>3.0568215555251991E-4</v>
      </c>
      <c r="I57" s="404">
        <f t="shared" ca="1" si="6"/>
        <v>3.1994248223910301E-4</v>
      </c>
      <c r="J57" s="404">
        <f t="shared" ca="1" si="7"/>
        <v>138.05699123536917</v>
      </c>
      <c r="K57" s="411">
        <f t="shared" ca="1" si="8"/>
        <v>160.17334312314071</v>
      </c>
      <c r="L57" s="414">
        <f t="shared" ca="1" si="9"/>
        <v>1088.2039663605233</v>
      </c>
      <c r="M57" s="417">
        <f t="shared" ca="1" si="10"/>
        <v>14.924666175503377</v>
      </c>
    </row>
    <row r="58" spans="2:13" x14ac:dyDescent="0.3">
      <c r="B58" s="426">
        <f t="shared" si="11"/>
        <v>100</v>
      </c>
      <c r="C58" s="404">
        <f t="shared" si="1"/>
        <v>3.3673946255665596E-3</v>
      </c>
      <c r="D58" s="401">
        <f ca="1">MpropuPlein+1.5*MasseSans</f>
        <v>13.482000000000001</v>
      </c>
      <c r="E58" s="401">
        <f t="shared" ca="1" si="2"/>
        <v>12.991000000000001</v>
      </c>
      <c r="F58" s="401">
        <f t="shared" ca="1" si="3"/>
        <v>12.500000000000002</v>
      </c>
      <c r="G58" s="408">
        <f t="shared" ca="1" si="4"/>
        <v>80.670871372488605</v>
      </c>
      <c r="H58" s="404">
        <f t="shared" ca="1" si="5"/>
        <v>2.5920980875733654E-4</v>
      </c>
      <c r="I58" s="404">
        <f t="shared" ca="1" si="6"/>
        <v>2.6939157004532476E-4</v>
      </c>
      <c r="J58" s="404">
        <f t="shared" ca="1" si="7"/>
        <v>115.4139047242999</v>
      </c>
      <c r="K58" s="411">
        <f t="shared" ca="1" si="8"/>
        <v>134.44311356521487</v>
      </c>
      <c r="L58" s="414">
        <f t="shared" ca="1" si="9"/>
        <v>863.45500749479891</v>
      </c>
      <c r="M58" s="417">
        <f t="shared" ca="1" si="10"/>
        <v>13.639036477492017</v>
      </c>
    </row>
    <row r="59" spans="2:13" x14ac:dyDescent="0.3">
      <c r="B59" s="426">
        <f t="shared" si="11"/>
        <v>100</v>
      </c>
      <c r="C59" s="404">
        <f t="shared" si="1"/>
        <v>3.3673946255665596E-3</v>
      </c>
      <c r="D59" s="401">
        <f ca="1">MpropuPlein+1.75*MasseSans</f>
        <v>15.457000000000001</v>
      </c>
      <c r="E59" s="401">
        <f t="shared" ca="1" si="2"/>
        <v>14.966000000000001</v>
      </c>
      <c r="F59" s="401">
        <f t="shared" ca="1" si="3"/>
        <v>14.475000000000001</v>
      </c>
      <c r="G59" s="408">
        <f t="shared" ca="1" si="4"/>
        <v>68.730491781371072</v>
      </c>
      <c r="H59" s="404">
        <f t="shared" ca="1" si="5"/>
        <v>2.2500298179650938E-4</v>
      </c>
      <c r="I59" s="404">
        <f t="shared" ca="1" si="6"/>
        <v>2.3263520729302655E-4</v>
      </c>
      <c r="J59" s="404">
        <f t="shared" ca="1" si="7"/>
        <v>98.584481061442958</v>
      </c>
      <c r="K59" s="411">
        <f t="shared" ca="1" si="8"/>
        <v>115.1317459450506</v>
      </c>
      <c r="L59" s="414">
        <f t="shared" ca="1" si="9"/>
        <v>686.05568013194841</v>
      </c>
      <c r="M59" s="417">
        <f t="shared" ca="1" si="10"/>
        <v>12.396449490656179</v>
      </c>
    </row>
    <row r="60" spans="2:13" x14ac:dyDescent="0.3">
      <c r="B60" s="427">
        <f t="shared" si="11"/>
        <v>100</v>
      </c>
      <c r="C60" s="405">
        <f t="shared" si="1"/>
        <v>3.3673946255665596E-3</v>
      </c>
      <c r="D60" s="402">
        <f ca="1">MpropuPlein+2*MasseSans</f>
        <v>17.432000000000002</v>
      </c>
      <c r="E60" s="402">
        <f t="shared" ca="1" si="2"/>
        <v>16.941000000000003</v>
      </c>
      <c r="F60" s="402">
        <f t="shared" ca="1" si="3"/>
        <v>16.450000000000003</v>
      </c>
      <c r="G60" s="409">
        <f t="shared" ca="1" si="4"/>
        <v>59.57415677941087</v>
      </c>
      <c r="H60" s="405">
        <f t="shared" ca="1" si="5"/>
        <v>1.987718921885697E-4</v>
      </c>
      <c r="I60" s="405">
        <f t="shared" ca="1" si="6"/>
        <v>2.0470484045997318E-4</v>
      </c>
      <c r="J60" s="405">
        <f t="shared" ca="1" si="7"/>
        <v>85.598087185040399</v>
      </c>
      <c r="K60" s="412">
        <f t="shared" ca="1" si="8"/>
        <v>100.13636134132689</v>
      </c>
      <c r="L60" s="415">
        <f t="shared" ca="1" si="9"/>
        <v>549.65958243079069</v>
      </c>
      <c r="M60" s="418">
        <f t="shared" ca="1" si="10"/>
        <v>11.273517533902577</v>
      </c>
    </row>
    <row r="61" spans="2:13" x14ac:dyDescent="0.3">
      <c r="B61" s="425">
        <f t="shared" ref="B61:B69" si="12">D_ref*1.5</f>
        <v>150</v>
      </c>
      <c r="C61" s="403">
        <f t="shared" si="1"/>
        <v>7.57663790752476E-3</v>
      </c>
      <c r="D61" s="400">
        <f ca="1">MpropuPlein+0*MasseSans</f>
        <v>1.6319999999999999</v>
      </c>
      <c r="E61" s="400">
        <f t="shared" ca="1" si="2"/>
        <v>1.141</v>
      </c>
      <c r="F61" s="400">
        <f t="shared" ca="1" si="3"/>
        <v>0.65</v>
      </c>
      <c r="G61" s="407">
        <f t="shared" ca="1" si="4"/>
        <v>1020.3714198071864</v>
      </c>
      <c r="H61" s="403">
        <f t="shared" ca="1" si="5"/>
        <v>6.6403487357798068E-3</v>
      </c>
      <c r="I61" s="403">
        <f t="shared" ca="1" si="6"/>
        <v>1.1656366011576554E-2</v>
      </c>
      <c r="J61" s="403">
        <f t="shared" ca="1" si="7"/>
        <v>562.03379922677595</v>
      </c>
      <c r="K61" s="410">
        <f t="shared" ca="1" si="8"/>
        <v>391.8854912907172</v>
      </c>
      <c r="L61" s="413">
        <f t="shared" ca="1" si="9"/>
        <v>785.60688383911724</v>
      </c>
      <c r="M61" s="416">
        <f t="shared" ca="1" si="10"/>
        <v>6.1266757557450582</v>
      </c>
    </row>
    <row r="62" spans="2:13" x14ac:dyDescent="0.3">
      <c r="B62" s="426">
        <f t="shared" si="12"/>
        <v>150</v>
      </c>
      <c r="C62" s="404">
        <f t="shared" si="1"/>
        <v>7.57663790752476E-3</v>
      </c>
      <c r="D62" s="401">
        <f ca="1">MpropuPlein+0.25*MasseSans</f>
        <v>3.6070000000000002</v>
      </c>
      <c r="E62" s="401">
        <f t="shared" ca="1" si="2"/>
        <v>3.1160000000000001</v>
      </c>
      <c r="F62" s="401">
        <f t="shared" ca="1" si="3"/>
        <v>2.6250000000000004</v>
      </c>
      <c r="G62" s="408">
        <f t="shared" ca="1" si="4"/>
        <v>367.41625160462121</v>
      </c>
      <c r="H62" s="404">
        <f t="shared" ca="1" si="5"/>
        <v>2.4315269279604492E-3</v>
      </c>
      <c r="I62" s="404">
        <f t="shared" ca="1" si="6"/>
        <v>2.8863382504856223E-3</v>
      </c>
      <c r="J62" s="404">
        <f t="shared" ca="1" si="7"/>
        <v>391.9746171234948</v>
      </c>
      <c r="K62" s="411">
        <f t="shared" ca="1" si="8"/>
        <v>358.66992216340913</v>
      </c>
      <c r="L62" s="414">
        <f t="shared" ca="1" si="9"/>
        <v>1025.94624624726</v>
      </c>
      <c r="M62" s="417">
        <f t="shared" ca="1" si="10"/>
        <v>10.07736238141884</v>
      </c>
    </row>
    <row r="63" spans="2:13" x14ac:dyDescent="0.3">
      <c r="B63" s="426">
        <f t="shared" si="12"/>
        <v>150</v>
      </c>
      <c r="C63" s="404">
        <f t="shared" si="1"/>
        <v>7.57663790752476E-3</v>
      </c>
      <c r="D63" s="401">
        <f ca="1">MpropuPlein+0.5*MasseSans</f>
        <v>5.5819999999999999</v>
      </c>
      <c r="E63" s="401">
        <f t="shared" ca="1" si="2"/>
        <v>5.0910000000000002</v>
      </c>
      <c r="F63" s="401">
        <f t="shared" ca="1" si="3"/>
        <v>4.5999999999999996</v>
      </c>
      <c r="G63" s="408">
        <f t="shared" ca="1" si="4"/>
        <v>221.07528776271846</v>
      </c>
      <c r="H63" s="404">
        <f t="shared" ca="1" si="5"/>
        <v>1.488241584664066E-3</v>
      </c>
      <c r="I63" s="404">
        <f t="shared" ca="1" si="6"/>
        <v>1.6470951972879914E-3</v>
      </c>
      <c r="J63" s="404">
        <f t="shared" ca="1" si="7"/>
        <v>278.82575534618314</v>
      </c>
      <c r="K63" s="411">
        <f t="shared" ca="1" si="8"/>
        <v>289.42800585759971</v>
      </c>
      <c r="L63" s="414">
        <f t="shared" ca="1" si="9"/>
        <v>1102.2010411154924</v>
      </c>
      <c r="M63" s="417">
        <f t="shared" ca="1" si="10"/>
        <v>12.007378305283352</v>
      </c>
    </row>
    <row r="64" spans="2:13" x14ac:dyDescent="0.3">
      <c r="B64" s="426">
        <f t="shared" si="12"/>
        <v>150</v>
      </c>
      <c r="C64" s="404">
        <f t="shared" si="1"/>
        <v>7.57663790752476E-3</v>
      </c>
      <c r="D64" s="401">
        <f ca="1">MpropuPlein+0.75*MasseSans</f>
        <v>7.5570000000000004</v>
      </c>
      <c r="E64" s="401">
        <f t="shared" ca="1" si="2"/>
        <v>7.0660000000000007</v>
      </c>
      <c r="F64" s="401">
        <f t="shared" ca="1" si="3"/>
        <v>6.5750000000000002</v>
      </c>
      <c r="G64" s="408">
        <f t="shared" ca="1" si="4"/>
        <v>156.54111803000276</v>
      </c>
      <c r="H64" s="404">
        <f t="shared" ca="1" si="5"/>
        <v>1.072266898885474E-3</v>
      </c>
      <c r="I64" s="404">
        <f t="shared" ca="1" si="6"/>
        <v>1.1523403661634615E-3</v>
      </c>
      <c r="J64" s="404">
        <f t="shared" ca="1" si="7"/>
        <v>209.97806227180166</v>
      </c>
      <c r="K64" s="411">
        <f t="shared" ca="1" si="8"/>
        <v>230.068149845666</v>
      </c>
      <c r="L64" s="414">
        <f t="shared" ca="1" si="9"/>
        <v>1067.5920499359252</v>
      </c>
      <c r="M64" s="417">
        <f t="shared" ca="1" si="10"/>
        <v>12.886668575369535</v>
      </c>
    </row>
    <row r="65" spans="2:13" x14ac:dyDescent="0.3">
      <c r="B65" s="426">
        <f t="shared" si="12"/>
        <v>150</v>
      </c>
      <c r="C65" s="404">
        <f t="shared" si="1"/>
        <v>7.57663790752476E-3</v>
      </c>
      <c r="D65" s="401">
        <f ca="1">MpropuPlein+1*MasseSans</f>
        <v>9.532</v>
      </c>
      <c r="E65" s="401">
        <f t="shared" ca="1" si="2"/>
        <v>9.0410000000000004</v>
      </c>
      <c r="F65" s="401">
        <f t="shared" ca="1" si="3"/>
        <v>8.5500000000000007</v>
      </c>
      <c r="G65" s="408">
        <f t="shared" ca="1" si="4"/>
        <v>120.20183497400726</v>
      </c>
      <c r="H65" s="404">
        <f t="shared" ca="1" si="5"/>
        <v>8.3803095979700915E-4</v>
      </c>
      <c r="I65" s="404">
        <f t="shared" ca="1" si="6"/>
        <v>8.8615648041225255E-4</v>
      </c>
      <c r="J65" s="404">
        <f t="shared" ca="1" si="7"/>
        <v>165.86557871118947</v>
      </c>
      <c r="K65" s="411">
        <f t="shared" ca="1" si="8"/>
        <v>186.57949500993547</v>
      </c>
      <c r="L65" s="414">
        <f t="shared" ca="1" si="9"/>
        <v>968.1014136198296</v>
      </c>
      <c r="M65" s="417">
        <f t="shared" ca="1" si="10"/>
        <v>13.040213121618818</v>
      </c>
    </row>
    <row r="66" spans="2:13" x14ac:dyDescent="0.3">
      <c r="B66" s="426">
        <f t="shared" si="12"/>
        <v>150</v>
      </c>
      <c r="C66" s="404">
        <f t="shared" si="1"/>
        <v>7.57663790752476E-3</v>
      </c>
      <c r="D66" s="401">
        <f ca="1">MpropuPlein+1.25*MasseSans</f>
        <v>11.507</v>
      </c>
      <c r="E66" s="401">
        <f t="shared" ca="1" si="2"/>
        <v>11.016</v>
      </c>
      <c r="F66" s="401">
        <f t="shared" ca="1" si="3"/>
        <v>10.525</v>
      </c>
      <c r="G66" s="408">
        <f t="shared" ca="1" si="4"/>
        <v>96.8927051561365</v>
      </c>
      <c r="H66" s="404">
        <f t="shared" ca="1" si="5"/>
        <v>6.8778484999316991E-4</v>
      </c>
      <c r="I66" s="404">
        <f t="shared" ca="1" si="6"/>
        <v>7.1987058503798188E-4</v>
      </c>
      <c r="J66" s="404">
        <f t="shared" ca="1" si="7"/>
        <v>135.73390103691918</v>
      </c>
      <c r="K66" s="411">
        <f t="shared" ca="1" si="8"/>
        <v>154.89881382416033</v>
      </c>
      <c r="L66" s="414">
        <f t="shared" ca="1" si="9"/>
        <v>841.05425373269156</v>
      </c>
      <c r="M66" s="417">
        <f t="shared" ca="1" si="10"/>
        <v>12.706981755468616</v>
      </c>
    </row>
    <row r="67" spans="2:13" x14ac:dyDescent="0.3">
      <c r="B67" s="426">
        <f t="shared" si="12"/>
        <v>150</v>
      </c>
      <c r="C67" s="404">
        <f t="shared" si="1"/>
        <v>7.57663790752476E-3</v>
      </c>
      <c r="D67" s="401">
        <f ca="1">MpropuPlein+1.5*MasseSans</f>
        <v>13.482000000000001</v>
      </c>
      <c r="E67" s="401">
        <f t="shared" ca="1" si="2"/>
        <v>12.991000000000001</v>
      </c>
      <c r="F67" s="401">
        <f t="shared" ca="1" si="3"/>
        <v>12.500000000000002</v>
      </c>
      <c r="G67" s="408">
        <f t="shared" ca="1" si="4"/>
        <v>80.670871372488605</v>
      </c>
      <c r="H67" s="404">
        <f t="shared" ca="1" si="5"/>
        <v>5.8322206970400732E-4</v>
      </c>
      <c r="I67" s="404">
        <f t="shared" ca="1" si="6"/>
        <v>6.0613103260198067E-4</v>
      </c>
      <c r="J67" s="404">
        <f t="shared" ca="1" si="7"/>
        <v>114.01971718972236</v>
      </c>
      <c r="K67" s="411">
        <f t="shared" ca="1" si="8"/>
        <v>131.24517145366011</v>
      </c>
      <c r="L67" s="414">
        <f t="shared" ca="1" si="9"/>
        <v>711.90308588761036</v>
      </c>
      <c r="M67" s="417">
        <f t="shared" ca="1" si="10"/>
        <v>12.087265164226094</v>
      </c>
    </row>
    <row r="68" spans="2:13" x14ac:dyDescent="0.3">
      <c r="B68" s="426">
        <f t="shared" si="12"/>
        <v>150</v>
      </c>
      <c r="C68" s="404">
        <f t="shared" si="1"/>
        <v>7.57663790752476E-3</v>
      </c>
      <c r="D68" s="401">
        <f ca="1">MpropuPlein+1.75*MasseSans</f>
        <v>15.457000000000001</v>
      </c>
      <c r="E68" s="401">
        <f t="shared" ca="1" si="2"/>
        <v>14.966000000000001</v>
      </c>
      <c r="F68" s="401">
        <f t="shared" ca="1" si="3"/>
        <v>14.475000000000001</v>
      </c>
      <c r="G68" s="408">
        <f t="shared" ca="1" si="4"/>
        <v>68.730491781371072</v>
      </c>
      <c r="H68" s="404">
        <f t="shared" ca="1" si="5"/>
        <v>5.0625670904214614E-4</v>
      </c>
      <c r="I68" s="404">
        <f t="shared" ca="1" si="6"/>
        <v>5.234292164093098E-4</v>
      </c>
      <c r="J68" s="404">
        <f t="shared" ca="1" si="7"/>
        <v>97.694374289205285</v>
      </c>
      <c r="K68" s="411">
        <f t="shared" ca="1" si="8"/>
        <v>113.07673514242174</v>
      </c>
      <c r="L68" s="414">
        <f t="shared" ca="1" si="9"/>
        <v>594.53772054131559</v>
      </c>
      <c r="M68" s="417">
        <f t="shared" ca="1" si="10"/>
        <v>11.334412873599913</v>
      </c>
    </row>
    <row r="69" spans="2:13" x14ac:dyDescent="0.3">
      <c r="B69" s="427">
        <f t="shared" si="12"/>
        <v>150</v>
      </c>
      <c r="C69" s="405">
        <f t="shared" si="1"/>
        <v>7.57663790752476E-3</v>
      </c>
      <c r="D69" s="402">
        <f ca="1">MpropuPlein+2*MasseSans</f>
        <v>17.432000000000002</v>
      </c>
      <c r="E69" s="402">
        <f t="shared" ca="1" si="2"/>
        <v>16.941000000000003</v>
      </c>
      <c r="F69" s="402">
        <f t="shared" ca="1" si="3"/>
        <v>16.450000000000003</v>
      </c>
      <c r="G69" s="409">
        <f t="shared" ca="1" si="4"/>
        <v>59.57415677941087</v>
      </c>
      <c r="H69" s="405">
        <f t="shared" ca="1" si="5"/>
        <v>4.4723675742428188E-4</v>
      </c>
      <c r="I69" s="405">
        <f t="shared" ca="1" si="6"/>
        <v>4.6058589103493974E-4</v>
      </c>
      <c r="J69" s="405">
        <f t="shared" ca="1" si="7"/>
        <v>85.002064237852593</v>
      </c>
      <c r="K69" s="412">
        <f t="shared" ca="1" si="8"/>
        <v>98.754275675633039</v>
      </c>
      <c r="L69" s="415">
        <f t="shared" ca="1" si="9"/>
        <v>494.2466906656382</v>
      </c>
      <c r="M69" s="418">
        <f t="shared" ca="1" si="10"/>
        <v>10.55015973734003</v>
      </c>
    </row>
    <row r="73" spans="2:13" x14ac:dyDescent="0.3">
      <c r="B73" s="24" t="str">
        <f>IF(Lang="Français","Textes pour les graphiques :","Texts for graphics :")</f>
        <v>Textes pour les graphiques :</v>
      </c>
    </row>
    <row r="75" spans="2:13" x14ac:dyDescent="0.3">
      <c r="B75" t="str">
        <f>IF(Lang="Français","Masse totale",IF(Lang="English","Total Mass",""))</f>
        <v>Masse totale</v>
      </c>
    </row>
    <row r="76" spans="2:13" x14ac:dyDescent="0.3">
      <c r="B76" t="str">
        <f>IF(Lang="Français","Vitesse max",IF(Lang="English","Max Velocity",""))</f>
        <v>Vitesse max</v>
      </c>
    </row>
    <row r="77" spans="2:13" x14ac:dyDescent="0.3">
      <c r="B77" t="str">
        <f>Abaco!$B$76 &amp; " / " &amp; Abaco!$B$75</f>
        <v>Vitesse max / Masse totale</v>
      </c>
    </row>
    <row r="78" spans="2:13" x14ac:dyDescent="0.3">
      <c r="B78" t="str">
        <f>IF(Lang="Français","Altitude max",IF(Lang="English","Max Altitude",""))</f>
        <v>Altitude max</v>
      </c>
    </row>
    <row r="79" spans="2:13" x14ac:dyDescent="0.3">
      <c r="B79" t="str">
        <f>Abaco!$B$78 &amp; " / " &amp; Abaco!$B$75</f>
        <v>Altitude max / Masse totale</v>
      </c>
    </row>
    <row r="80" spans="2:13" x14ac:dyDescent="0.3">
      <c r="B80" t="str">
        <f>IF(Lang="Français","Temps de culmination",IF(Lang="English","Apogee time",""))</f>
        <v>Temps de culmination</v>
      </c>
    </row>
    <row r="81" spans="2:2" x14ac:dyDescent="0.3">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0:D10"/>
    <mergeCell ref="C9:D9"/>
    <mergeCell ref="C2:D3"/>
    <mergeCell ref="C4:D4"/>
    <mergeCell ref="C5:D5"/>
    <mergeCell ref="C7:D7"/>
    <mergeCell ref="C8:D8"/>
    <mergeCell ref="C11:D11"/>
    <mergeCell ref="C13:D13"/>
    <mergeCell ref="C15:D15"/>
    <mergeCell ref="C16:D16"/>
    <mergeCell ref="C17:D17"/>
    <mergeCell ref="C12:D12"/>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386443</xdr:colOff>
                <xdr:row>70</xdr:row>
                <xdr:rowOff>27214</xdr:rowOff>
              </from>
              <to>
                <xdr:col>12</xdr:col>
                <xdr:colOff>903514</xdr:colOff>
                <xdr:row>87</xdr:row>
                <xdr:rowOff>10886</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653143</xdr:colOff>
                    <xdr:row>9</xdr:row>
                    <xdr:rowOff>195943</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653143</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defaultColWidth="11.07421875" defaultRowHeight="12.45" x14ac:dyDescent="0.3"/>
  <cols>
    <col min="1" max="1" width="2.15234375" customWidth="1"/>
    <col min="2" max="2" width="16.15234375" customWidth="1"/>
    <col min="3" max="4" width="13.61328125" customWidth="1"/>
  </cols>
  <sheetData>
    <row r="2" spans="3:8" x14ac:dyDescent="0.3">
      <c r="C2" s="598" t="s">
        <v>178</v>
      </c>
      <c r="D2" s="598"/>
    </row>
    <row r="3" spans="3:8" x14ac:dyDescent="0.3">
      <c r="C3" s="598"/>
      <c r="D3" s="598"/>
    </row>
    <row r="5" spans="3:8" x14ac:dyDescent="0.3">
      <c r="C5" s="13" t="str">
        <f>IF(Lang="Français","Stabilité de fusée à ailerons","Stability of finned rocket")</f>
        <v>Stabilité de fusée à ailerons</v>
      </c>
    </row>
    <row r="6" spans="3:8" x14ac:dyDescent="0.3">
      <c r="C6" s="2" t="str">
        <f>IF(Lang="Français","Calculs de Stabilité basés sur les équations de Barrowman","Stability calculs are based on Barrowman equations")</f>
        <v>Calculs de Stabilité basés sur les équations de Barrowman</v>
      </c>
    </row>
    <row r="7" spans="3:8" x14ac:dyDescent="0.3">
      <c r="C7" s="13" t="str">
        <f>IF(Lang="Français","Trajectographie de fusée","Rocket Trajectography")</f>
        <v>Trajectographie de fusée</v>
      </c>
    </row>
    <row r="8" spans="3:8" x14ac:dyDescent="0.3">
      <c r="C8" s="2" t="str">
        <f>IF(Lang="Français","Trajectoire dans un plan par calcul pas à pas","Trajectory in a plane, step by step computation")</f>
        <v>Trajectoire dans un plan par calcul pas à pas</v>
      </c>
    </row>
    <row r="9" spans="3:8" x14ac:dyDescent="0.3">
      <c r="C9" s="2"/>
    </row>
    <row r="10" spans="3:8" x14ac:dyDescent="0.3">
      <c r="C10" s="14" t="str">
        <f>IF(Lang="Français","Documentation et équations :","Documentation and equations are aviable in french:")</f>
        <v>Documentation et équations :</v>
      </c>
    </row>
    <row r="11" spans="3:8" x14ac:dyDescent="0.3">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3">
      <c r="C12" t="str">
        <f>IF(Lang="Français","Néanmoins, les équations d'intégration du mouvement utilisées sont légèrement différentes !","")</f>
        <v>Néanmoins, les équations d'intégration du mouvement utilisées sont légèrement différentes !</v>
      </c>
    </row>
    <row r="13" spans="3:8" x14ac:dyDescent="0.3">
      <c r="C13" t="str">
        <f>IF(Lang="Français","Logiciels et dossier technique téléchargeables sur :","Softwares and french documentation can be downloaded at:")</f>
        <v>Logiciels et dossier technique téléchargeables sur :</v>
      </c>
      <c r="H13" s="15" t="s">
        <v>39</v>
      </c>
    </row>
    <row r="15" spans="3:8" x14ac:dyDescent="0.3">
      <c r="C15" s="14" t="str">
        <f>IF(Lang="Français","Pour les experts :","For experts:")</f>
        <v>Pour les experts :</v>
      </c>
    </row>
    <row r="16" spans="3:8" x14ac:dyDescent="0.3">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3">
      <c r="C17" t="str">
        <f>IF(Lang="Français","et faire vos modifications personnelles (ajout de moteur...).","and do your personal modification (adding a motor...)")</f>
        <v>et faire vos modifications personnelles (ajout de moteur...).</v>
      </c>
    </row>
    <row r="18" spans="3:8" x14ac:dyDescent="0.3">
      <c r="C18" t="s">
        <v>417</v>
      </c>
    </row>
    <row r="19" spans="3:8" x14ac:dyDescent="0.3">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3">
      <c r="C20" t="str">
        <f>IF(Lang="Français","Aucune Macro. Mise en forme conditionnelle, Noms de zone.","No macro. Conditionnal formating, named zones.")</f>
        <v>Aucune Macro. Mise en forme conditionnelle, Noms de zone.</v>
      </c>
    </row>
    <row r="21" spans="3:8" x14ac:dyDescent="0.3">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3">
      <c r="C22" s="48" t="str">
        <f>IF(Lang="Français","Les unités sont réglés dans le Format de la cellule.","Units are set in cell number Format")</f>
        <v>Les unités sont réglés dans le Format de la cellule.</v>
      </c>
      <c r="H22" s="15" t="s">
        <v>37</v>
      </c>
    </row>
    <row r="23" spans="3:8" x14ac:dyDescent="0.3">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3">
      <c r="C25" s="14" t="str">
        <f>IF(Lang="Français","Licence :","License:")</f>
        <v>Licence :</v>
      </c>
      <c r="D25" s="16"/>
    </row>
    <row r="26" spans="3:8" x14ac:dyDescent="0.3">
      <c r="C26" t="str">
        <f>IF(Lang="Français","Ce logiciel est placé sous la licence Creative Commons BY-SA","This software is placed under Creative Commons licence BY-SA")</f>
        <v>Ce logiciel est placé sous la licence Creative Commons BY-SA</v>
      </c>
      <c r="H26" s="68" t="s">
        <v>122</v>
      </c>
    </row>
    <row r="28" spans="3:8" x14ac:dyDescent="0.3">
      <c r="C28" s="14" t="str">
        <f>IF(Lang="Français","Compatibilité :","Compatibility:")</f>
        <v>Compatibilité :</v>
      </c>
    </row>
    <row r="29" spans="3:8" x14ac:dyDescent="0.3">
      <c r="C29" t="s">
        <v>152</v>
      </c>
    </row>
    <row r="30" spans="3:8" x14ac:dyDescent="0.3">
      <c r="C30" t="s">
        <v>299</v>
      </c>
    </row>
    <row r="31" spans="3:8" x14ac:dyDescent="0.3">
      <c r="C31" s="49" t="s">
        <v>110</v>
      </c>
    </row>
    <row r="33" spans="3:6" x14ac:dyDescent="0.3">
      <c r="C33" s="14" t="str">
        <f>IF(Lang="Français","Historique :","History:")</f>
        <v>Historique :</v>
      </c>
    </row>
    <row r="34" spans="3:6" x14ac:dyDescent="0.3">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3">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3">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3">
      <c r="C37" t="s">
        <v>105</v>
      </c>
      <c r="D37" t="s">
        <v>42</v>
      </c>
      <c r="E37" s="16">
        <v>39694</v>
      </c>
      <c r="F37" t="str">
        <f>IF(Lang="Français","Mise en forme","Formatting")</f>
        <v>Mise en forme</v>
      </c>
    </row>
    <row r="38" spans="3:6" x14ac:dyDescent="0.3">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3">
      <c r="C39" t="s">
        <v>107</v>
      </c>
      <c r="D39" t="s">
        <v>42</v>
      </c>
      <c r="E39" s="16">
        <v>39755</v>
      </c>
      <c r="F39" t="str">
        <f>IF(Lang="Français","Réécriture équations, traduction, érgonomie","Equations, traduction, ergonomy")</f>
        <v>Réécriture équations, traduction, érgonomie</v>
      </c>
    </row>
    <row r="40" spans="3:6" x14ac:dyDescent="0.3">
      <c r="C40" t="s">
        <v>108</v>
      </c>
      <c r="D40" t="s">
        <v>42</v>
      </c>
      <c r="E40" s="16">
        <v>39756</v>
      </c>
      <c r="F40" t="str">
        <f>IF(Lang="Français","Conditions Initiales pour vol 2e étage, 1ère publication","Initial Conditions, 1st publication")</f>
        <v>Conditions Initiales pour vol 2e étage, 1ère publication</v>
      </c>
    </row>
    <row r="41" spans="3:6" x14ac:dyDescent="0.3">
      <c r="C41" t="s">
        <v>109</v>
      </c>
      <c r="D41" t="s">
        <v>42</v>
      </c>
      <c r="E41" s="16">
        <v>40658</v>
      </c>
      <c r="F41" t="s">
        <v>52</v>
      </c>
    </row>
    <row r="42" spans="3:6" x14ac:dyDescent="0.3">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3">
      <c r="C43" t="s">
        <v>325</v>
      </c>
      <c r="D43" t="s">
        <v>42</v>
      </c>
      <c r="E43" s="16">
        <v>41194</v>
      </c>
      <c r="F43" t="s">
        <v>329</v>
      </c>
    </row>
    <row r="44" spans="3:6" x14ac:dyDescent="0.3">
      <c r="C44" t="s">
        <v>326</v>
      </c>
      <c r="D44" t="s">
        <v>42</v>
      </c>
      <c r="E44" s="16">
        <v>41329</v>
      </c>
      <c r="F44" t="s">
        <v>330</v>
      </c>
    </row>
    <row r="45" spans="3:6" x14ac:dyDescent="0.3">
      <c r="C45" t="s">
        <v>414</v>
      </c>
      <c r="D45" t="s">
        <v>393</v>
      </c>
      <c r="E45" s="16">
        <v>41947</v>
      </c>
      <c r="F45" t="s">
        <v>413</v>
      </c>
    </row>
    <row r="46" spans="3:6" x14ac:dyDescent="0.3">
      <c r="C46" t="s">
        <v>418</v>
      </c>
      <c r="D46" t="s">
        <v>393</v>
      </c>
      <c r="E46" s="16">
        <v>41965</v>
      </c>
      <c r="F46" t="s">
        <v>416</v>
      </c>
    </row>
    <row r="47" spans="3:6" x14ac:dyDescent="0.3">
      <c r="C47" t="s">
        <v>540</v>
      </c>
      <c r="D47" t="s">
        <v>393</v>
      </c>
      <c r="E47" s="16">
        <v>43048</v>
      </c>
      <c r="F47" t="s">
        <v>541</v>
      </c>
    </row>
    <row r="48" spans="3:6" x14ac:dyDescent="0.3">
      <c r="C48" t="s">
        <v>544</v>
      </c>
      <c r="D48" t="s">
        <v>393</v>
      </c>
      <c r="E48" s="16">
        <v>44160</v>
      </c>
      <c r="F48" t="s">
        <v>545</v>
      </c>
    </row>
    <row r="49" spans="3:6" x14ac:dyDescent="0.3">
      <c r="C49" t="s">
        <v>553</v>
      </c>
      <c r="D49" t="s">
        <v>551</v>
      </c>
      <c r="E49" s="16">
        <v>45300</v>
      </c>
      <c r="F49" t="s">
        <v>552</v>
      </c>
    </row>
    <row r="50" spans="3:6" x14ac:dyDescent="0.3">
      <c r="C50" t="s">
        <v>555</v>
      </c>
      <c r="D50" t="s">
        <v>393</v>
      </c>
      <c r="E50" s="16">
        <v>45322</v>
      </c>
      <c r="F50" t="s">
        <v>560</v>
      </c>
    </row>
    <row r="51" spans="3:6" x14ac:dyDescent="0.3">
      <c r="C51" t="s">
        <v>564</v>
      </c>
      <c r="D51" t="s">
        <v>393</v>
      </c>
      <c r="E51" s="16">
        <v>45325</v>
      </c>
      <c r="F51" t="s">
        <v>563</v>
      </c>
    </row>
    <row r="52" spans="3:6" x14ac:dyDescent="0.3">
      <c r="E52" s="16"/>
    </row>
    <row r="53" spans="3:6" x14ac:dyDescent="0.3">
      <c r="C53" s="14" t="str">
        <f>IF(Lang="Français","Paramètres de référence :","Reference parameters:")</f>
        <v>Paramètres de référence :</v>
      </c>
    </row>
    <row r="54" spans="3:6" x14ac:dyDescent="0.3">
      <c r="C54" s="62" t="str">
        <f>IF(Lang="Français","Gravité g :","Gravity g")</f>
        <v>Gravité g :</v>
      </c>
      <c r="E54" s="62">
        <v>9.81</v>
      </c>
      <c r="F54" s="62" t="s">
        <v>7</v>
      </c>
    </row>
    <row r="55" spans="3:6" x14ac:dyDescent="0.3">
      <c r="C55" s="62" t="str">
        <f>IF(Lang="Français","Masse volumique de l'air ρ :","Air density ρ")</f>
        <v>Masse volumique de l'air ρ :</v>
      </c>
      <c r="E55" s="63">
        <v>1.2250000000000001</v>
      </c>
      <c r="F55" s="62" t="s">
        <v>8</v>
      </c>
    </row>
    <row r="56" spans="3:6" x14ac:dyDescent="0.3">
      <c r="C56" s="48"/>
    </row>
    <row r="57" spans="3:6" x14ac:dyDescent="0.3">
      <c r="C57" s="48"/>
    </row>
    <row r="58" spans="3:6" x14ac:dyDescent="0.3">
      <c r="C58" s="48"/>
    </row>
    <row r="59" spans="3:6" x14ac:dyDescent="0.3">
      <c r="C59" s="48"/>
    </row>
    <row r="60" spans="3:6" x14ac:dyDescent="0.3">
      <c r="C60" s="48"/>
    </row>
    <row r="61" spans="3:6" x14ac:dyDescent="0.3">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defaultColWidth="11.61328125" defaultRowHeight="12.45" x14ac:dyDescent="0.3"/>
  <cols>
    <col min="1" max="2" width="2.15234375" customWidth="1"/>
    <col min="3" max="3" width="12.61328125" customWidth="1"/>
    <col min="4" max="4" width="21" customWidth="1"/>
    <col min="7" max="7" width="26.61328125" customWidth="1"/>
    <col min="8" max="9" width="6.84375" customWidth="1"/>
    <col min="10" max="10" width="10" customWidth="1"/>
    <col min="11" max="11" width="13" customWidth="1"/>
    <col min="12" max="12" width="21.15234375" customWidth="1"/>
    <col min="14" max="14" width="2.15234375" customWidth="1"/>
    <col min="18" max="19" width="16.15234375" customWidth="1"/>
  </cols>
  <sheetData>
    <row r="1" spans="2:21" ht="12.9" thickBot="1" x14ac:dyDescent="0.35">
      <c r="O1" s="6"/>
      <c r="P1" s="48"/>
      <c r="Q1" s="48"/>
      <c r="R1" s="48"/>
      <c r="S1" s="48"/>
      <c r="T1" s="48"/>
      <c r="U1" s="48"/>
    </row>
    <row r="2" spans="2:21" ht="12.9" thickBot="1" x14ac:dyDescent="0.35">
      <c r="B2" s="71"/>
      <c r="C2" s="72"/>
      <c r="D2" s="72"/>
      <c r="E2" s="72"/>
      <c r="F2" s="72"/>
      <c r="G2" s="72"/>
      <c r="H2" s="72"/>
      <c r="I2" s="72"/>
      <c r="J2" s="72"/>
      <c r="K2" s="72"/>
      <c r="L2" s="72"/>
      <c r="M2" s="72"/>
      <c r="N2" s="73"/>
      <c r="O2" s="6"/>
      <c r="P2" s="48"/>
      <c r="Q2" s="48"/>
      <c r="R2" s="48"/>
      <c r="S2" s="48"/>
      <c r="T2" s="48"/>
      <c r="U2" s="48"/>
    </row>
    <row r="3" spans="2:21" ht="15.75" customHeight="1" thickBot="1" x14ac:dyDescent="0.35">
      <c r="B3" s="74"/>
      <c r="D3" s="2" t="s">
        <v>427</v>
      </c>
      <c r="N3" s="75"/>
      <c r="O3" s="6"/>
      <c r="P3" s="273" t="s">
        <v>338</v>
      </c>
      <c r="Q3" s="441">
        <f>Long_ogive</f>
        <v>40</v>
      </c>
      <c r="R3" s="48"/>
      <c r="S3" s="48"/>
      <c r="T3" s="48"/>
      <c r="U3" s="48"/>
    </row>
    <row r="4" spans="2:21" ht="15.75" customHeight="1" x14ac:dyDescent="0.3">
      <c r="B4" s="74"/>
      <c r="D4" s="2" t="s">
        <v>562</v>
      </c>
      <c r="E4" t="str">
        <f>Matricule</f>
        <v>FX10</v>
      </c>
      <c r="N4" s="75"/>
      <c r="O4" s="6"/>
      <c r="P4" s="273"/>
      <c r="Q4" s="436"/>
      <c r="R4" s="48"/>
      <c r="S4" s="48"/>
      <c r="T4" s="48"/>
      <c r="U4" s="48"/>
    </row>
    <row r="5" spans="2:21" ht="15.75" customHeight="1" x14ac:dyDescent="0.3">
      <c r="B5" s="74"/>
      <c r="D5" t="s">
        <v>460</v>
      </c>
      <c r="E5" t="str">
        <f>Propu</f>
        <v>Pro54-5G WT</v>
      </c>
      <c r="G5" t="s">
        <v>457</v>
      </c>
      <c r="H5">
        <f>MasseSans</f>
        <v>7.9</v>
      </c>
      <c r="N5" s="75"/>
      <c r="O5" s="6"/>
      <c r="P5" s="273"/>
      <c r="Q5" s="436"/>
      <c r="R5" s="48"/>
      <c r="S5" s="48"/>
      <c r="T5" s="48"/>
      <c r="U5" s="48"/>
    </row>
    <row r="6" spans="2:21" x14ac:dyDescent="0.3">
      <c r="B6" s="74"/>
      <c r="D6" t="s">
        <v>453</v>
      </c>
      <c r="E6" s="2" t="str">
        <f>Trajecto!H34</f>
        <v>Blanc - Corps:Français</v>
      </c>
      <c r="G6" t="s">
        <v>458</v>
      </c>
      <c r="H6">
        <f>D_ref</f>
        <v>100</v>
      </c>
      <c r="N6" s="75"/>
      <c r="O6" s="6"/>
      <c r="P6" s="273"/>
      <c r="Q6" s="436"/>
      <c r="R6" s="48"/>
      <c r="S6" s="48"/>
      <c r="T6" s="48"/>
      <c r="U6" s="48"/>
    </row>
    <row r="7" spans="2:21" x14ac:dyDescent="0.3">
      <c r="B7" s="74"/>
      <c r="D7" t="s">
        <v>455</v>
      </c>
      <c r="E7" s="2" t="str">
        <f>Trajecto!H35</f>
        <v>Rouge/Blanc</v>
      </c>
      <c r="G7" t="s">
        <v>5</v>
      </c>
      <c r="H7">
        <f>Cx</f>
        <v>0.7</v>
      </c>
      <c r="N7" s="75"/>
      <c r="O7" s="6"/>
      <c r="P7" s="273"/>
      <c r="Q7" s="436"/>
      <c r="R7" s="48"/>
      <c r="S7" s="48"/>
      <c r="T7" s="48"/>
      <c r="U7" s="48"/>
    </row>
    <row r="8" spans="2:21" x14ac:dyDescent="0.3">
      <c r="B8" s="74"/>
      <c r="D8" t="s">
        <v>456</v>
      </c>
      <c r="E8" s="2">
        <f>S_para</f>
        <v>1.99</v>
      </c>
      <c r="G8" t="s">
        <v>459</v>
      </c>
      <c r="H8">
        <f>L_rampe</f>
        <v>4</v>
      </c>
      <c r="N8" s="75"/>
      <c r="O8" s="6"/>
      <c r="P8" s="273"/>
      <c r="Q8" s="436"/>
      <c r="R8" s="48"/>
      <c r="S8" s="48"/>
      <c r="T8" s="48"/>
      <c r="U8" s="48"/>
    </row>
    <row r="9" spans="2:21" x14ac:dyDescent="0.3">
      <c r="B9" s="74"/>
      <c r="D9" t="s">
        <v>454</v>
      </c>
      <c r="E9" s="2"/>
      <c r="G9" t="s">
        <v>146</v>
      </c>
      <c r="H9" s="532" t="str">
        <f>Forme_ogive</f>
        <v>Parabolique (arrondie)</v>
      </c>
      <c r="N9" s="75"/>
      <c r="O9" s="6"/>
      <c r="P9" s="273"/>
      <c r="Q9" s="436"/>
      <c r="R9" s="48"/>
      <c r="S9" s="48"/>
      <c r="T9" s="48"/>
      <c r="U9" s="48"/>
    </row>
    <row r="10" spans="2:21" x14ac:dyDescent="0.3">
      <c r="B10" s="74"/>
      <c r="F10" s="3"/>
      <c r="G10" s="6"/>
      <c r="N10" s="75"/>
      <c r="O10" s="521"/>
      <c r="P10" s="48"/>
      <c r="Q10" s="436"/>
      <c r="R10" s="48"/>
      <c r="S10" s="48"/>
      <c r="T10" s="48"/>
      <c r="U10" s="48"/>
    </row>
    <row r="11" spans="2:21" ht="12.9" thickBot="1" x14ac:dyDescent="0.35">
      <c r="B11" s="74"/>
      <c r="C11" s="12"/>
      <c r="D11" s="275" t="s">
        <v>452</v>
      </c>
      <c r="E11" s="243">
        <f>MasseSans</f>
        <v>7.9</v>
      </c>
      <c r="F11" s="246" t="s">
        <v>123</v>
      </c>
      <c r="G11" s="246" t="s">
        <v>125</v>
      </c>
      <c r="H11" s="672">
        <f ca="1">Vsortie_de_rampe</f>
        <v>31.548677347376938</v>
      </c>
      <c r="I11" s="673"/>
      <c r="J11" s="76"/>
      <c r="N11" s="75"/>
      <c r="P11" s="48"/>
      <c r="Q11" s="436"/>
      <c r="R11" s="48"/>
      <c r="S11" s="48"/>
      <c r="T11" s="48"/>
      <c r="U11" s="440">
        <f>IF(RIGHT(Nb_diam,1)=",", "", X_j)</f>
        <v>40</v>
      </c>
    </row>
    <row r="12" spans="2:21" ht="12.9" thickBot="1" x14ac:dyDescent="0.35">
      <c r="B12" s="74"/>
      <c r="C12" s="12"/>
      <c r="D12" s="276"/>
      <c r="E12" s="244"/>
      <c r="F12" s="6" t="s">
        <v>123</v>
      </c>
      <c r="G12" s="6" t="s">
        <v>126</v>
      </c>
      <c r="H12" s="674">
        <f>Finesse</f>
        <v>21.95</v>
      </c>
      <c r="I12" s="675"/>
      <c r="J12" s="76"/>
      <c r="N12" s="75"/>
      <c r="O12" s="6"/>
      <c r="P12" s="273" t="s">
        <v>339</v>
      </c>
      <c r="Q12" s="441">
        <f>D_og</f>
        <v>90</v>
      </c>
      <c r="R12" s="48"/>
      <c r="S12" s="48"/>
      <c r="T12" s="48"/>
      <c r="U12" s="436"/>
    </row>
    <row r="13" spans="2:21" x14ac:dyDescent="0.3">
      <c r="B13" s="74"/>
      <c r="C13" s="12"/>
      <c r="D13" s="276" t="s">
        <v>5</v>
      </c>
      <c r="E13" s="244">
        <f>Cx</f>
        <v>0.7</v>
      </c>
      <c r="F13" s="6" t="s">
        <v>123</v>
      </c>
      <c r="G13" s="6" t="s">
        <v>431</v>
      </c>
      <c r="H13" s="674">
        <f>Cn</f>
        <v>16.948604812047883</v>
      </c>
      <c r="I13" s="675"/>
      <c r="J13" s="76"/>
      <c r="N13" s="75"/>
      <c r="O13" s="6"/>
      <c r="P13" s="48"/>
      <c r="Q13" s="436"/>
      <c r="R13" s="48"/>
      <c r="S13" s="48"/>
      <c r="T13" s="48"/>
      <c r="U13" s="440">
        <f>IF(RIGHT(Nb_diam,1)=",", "", X_r)</f>
        <v>500</v>
      </c>
    </row>
    <row r="14" spans="2:21" x14ac:dyDescent="0.3">
      <c r="B14" s="74"/>
      <c r="C14" s="12"/>
      <c r="D14" s="276" t="s">
        <v>143</v>
      </c>
      <c r="E14" s="244">
        <f>L_rampe</f>
        <v>4</v>
      </c>
      <c r="F14" s="6" t="s">
        <v>123</v>
      </c>
      <c r="G14" s="6" t="s">
        <v>127</v>
      </c>
      <c r="H14" s="247">
        <f ca="1">MS_min</f>
        <v>4.4950781692231727</v>
      </c>
      <c r="I14" s="254">
        <f ca="1">MS_max</f>
        <v>5.2508689190029232</v>
      </c>
      <c r="J14" s="76"/>
      <c r="K14" s="76"/>
      <c r="N14" s="75"/>
      <c r="P14" s="48"/>
      <c r="Q14" s="436"/>
      <c r="R14" s="48"/>
      <c r="S14" s="48"/>
      <c r="T14" s="48"/>
      <c r="U14" s="436"/>
    </row>
    <row r="15" spans="2:21" x14ac:dyDescent="0.3">
      <c r="B15" s="74"/>
      <c r="C15" s="12"/>
      <c r="D15" s="276" t="s">
        <v>144</v>
      </c>
      <c r="E15" s="244">
        <f>ep_ail</f>
        <v>2</v>
      </c>
      <c r="F15" s="6" t="s">
        <v>123</v>
      </c>
      <c r="G15" s="6" t="s">
        <v>124</v>
      </c>
      <c r="H15" s="247">
        <f ca="1">MS_Cn_min</f>
        <v>76.185303489427255</v>
      </c>
      <c r="I15" s="254">
        <f ca="1">MS_Cn_max</f>
        <v>88.994902228045603</v>
      </c>
      <c r="J15" s="76"/>
      <c r="K15" s="76"/>
      <c r="N15" s="75"/>
      <c r="P15" s="48"/>
      <c r="Q15" s="436"/>
      <c r="R15" s="48"/>
      <c r="S15" s="48"/>
      <c r="T15" s="48"/>
    </row>
    <row r="16" spans="2:21" x14ac:dyDescent="0.3">
      <c r="B16" s="74"/>
      <c r="C16" s="12"/>
      <c r="D16" s="276" t="s">
        <v>145</v>
      </c>
      <c r="E16" s="244">
        <f>Q_ail</f>
        <v>4</v>
      </c>
      <c r="F16" s="6" t="s">
        <v>128</v>
      </c>
      <c r="G16" s="6" t="s">
        <v>129</v>
      </c>
      <c r="H16" s="247">
        <f ca="1">V_para</f>
        <v>8.2954123010607681</v>
      </c>
      <c r="I16" s="253">
        <f>V_satellite</f>
        <v>12.655562623057198</v>
      </c>
      <c r="J16" s="76"/>
      <c r="N16" s="75"/>
      <c r="P16" s="48"/>
      <c r="Q16" s="436"/>
      <c r="R16" s="48"/>
      <c r="S16" s="48"/>
      <c r="T16" s="48"/>
      <c r="U16" s="440">
        <f>IF(RIGHT(Nb_diam,1)=",", "", l_j)</f>
        <v>188</v>
      </c>
    </row>
    <row r="17" spans="2:21" x14ac:dyDescent="0.3">
      <c r="B17" s="74"/>
      <c r="C17" s="12"/>
      <c r="D17" s="276" t="s">
        <v>146</v>
      </c>
      <c r="E17" s="272" t="str">
        <f>Forme_ogive</f>
        <v>Parabolique (arrondie)</v>
      </c>
      <c r="F17" s="6" t="s">
        <v>130</v>
      </c>
      <c r="G17" s="6" t="s">
        <v>131</v>
      </c>
      <c r="H17" s="674">
        <f>T_para</f>
        <v>16</v>
      </c>
      <c r="I17" s="675"/>
      <c r="J17" s="258"/>
      <c r="N17" s="75"/>
      <c r="P17" s="434" t="s">
        <v>340</v>
      </c>
      <c r="Q17" s="440">
        <f>IF(RIGHT(Nb_diam,1)=",", "", D2j)</f>
        <v>100</v>
      </c>
      <c r="R17" s="48"/>
      <c r="S17" s="48"/>
      <c r="T17" s="48"/>
      <c r="U17" s="436"/>
    </row>
    <row r="18" spans="2:21" x14ac:dyDescent="0.3">
      <c r="B18" s="74"/>
      <c r="C18" s="12"/>
      <c r="D18" s="276" t="s">
        <v>148</v>
      </c>
      <c r="E18" s="244">
        <f ca="1">XpropuRef-Long_propu</f>
        <v>1716</v>
      </c>
      <c r="F18" s="12" t="s">
        <v>130</v>
      </c>
      <c r="G18" s="12" t="s">
        <v>425</v>
      </c>
      <c r="H18" s="602">
        <f ca="1">T_para-Combustion-Depotage</f>
        <v>16</v>
      </c>
      <c r="I18" s="680"/>
      <c r="N18" s="75"/>
      <c r="P18" s="48"/>
      <c r="Q18" s="436"/>
      <c r="R18" s="48"/>
      <c r="S18" s="48"/>
    </row>
    <row r="19" spans="2:21" x14ac:dyDescent="0.3">
      <c r="B19" s="74"/>
      <c r="C19" s="531"/>
      <c r="D19" s="269"/>
      <c r="E19" s="271"/>
      <c r="F19" s="519" t="s">
        <v>132</v>
      </c>
      <c r="G19" s="274" t="s">
        <v>424</v>
      </c>
      <c r="H19" s="681">
        <f ca="1">Portee_balistique</f>
        <v>764.67878961306644</v>
      </c>
      <c r="I19" s="682"/>
      <c r="N19" s="75"/>
      <c r="P19" s="48"/>
      <c r="Q19" s="436"/>
      <c r="R19" s="48"/>
      <c r="S19" s="48"/>
      <c r="T19" s="48"/>
    </row>
    <row r="20" spans="2:21" x14ac:dyDescent="0.3">
      <c r="B20" s="74"/>
      <c r="C20" s="12"/>
      <c r="D20" s="6"/>
      <c r="E20" s="6"/>
      <c r="H20" s="518"/>
      <c r="I20" s="518"/>
      <c r="N20" s="75"/>
      <c r="P20" s="48"/>
      <c r="Q20" s="436"/>
      <c r="R20" s="48"/>
      <c r="S20" s="48"/>
      <c r="T20" s="48"/>
      <c r="U20" s="440">
        <f>IF(RIGHT(Nb_diam,1)=",", "", l_r)</f>
        <v>50</v>
      </c>
    </row>
    <row r="21" spans="2:21" x14ac:dyDescent="0.3">
      <c r="B21" s="74"/>
      <c r="C21" s="12"/>
      <c r="D21" s="6"/>
      <c r="E21" s="263"/>
      <c r="F21" s="3"/>
      <c r="G21" s="6"/>
      <c r="H21" s="518"/>
      <c r="I21" s="518"/>
      <c r="N21" s="75"/>
      <c r="O21" s="273"/>
      <c r="P21" s="436"/>
      <c r="Q21" s="48"/>
      <c r="R21" s="48"/>
      <c r="S21" s="48"/>
      <c r="T21" s="226"/>
      <c r="U21" s="436"/>
    </row>
    <row r="22" spans="2:21" x14ac:dyDescent="0.3">
      <c r="B22" s="74"/>
      <c r="C22" s="526" t="s">
        <v>451</v>
      </c>
      <c r="D22" s="526" t="s">
        <v>435</v>
      </c>
      <c r="E22" s="527"/>
      <c r="F22" s="528" t="s">
        <v>440</v>
      </c>
      <c r="G22" s="526" t="s">
        <v>445</v>
      </c>
      <c r="I22" s="529"/>
      <c r="J22" s="530" t="s">
        <v>156</v>
      </c>
      <c r="K22" s="526" t="s">
        <v>157</v>
      </c>
      <c r="N22" s="75"/>
      <c r="O22" s="273"/>
      <c r="P22" s="436"/>
      <c r="Q22" s="48"/>
      <c r="R22" s="48"/>
      <c r="S22" s="48"/>
      <c r="T22" s="226"/>
      <c r="U22" s="436"/>
    </row>
    <row r="23" spans="2:21" x14ac:dyDescent="0.3">
      <c r="B23" s="74"/>
      <c r="C23" s="526" t="s">
        <v>450</v>
      </c>
      <c r="D23" s="527">
        <f>XcgSans</f>
        <v>1180</v>
      </c>
      <c r="E23" s="527" t="s">
        <v>38</v>
      </c>
      <c r="F23" s="528">
        <f>m_ail</f>
        <v>290</v>
      </c>
      <c r="G23" s="526">
        <f>m_can</f>
        <v>70</v>
      </c>
      <c r="I23" s="529" t="s">
        <v>446</v>
      </c>
      <c r="J23" s="528">
        <f>l_j</f>
        <v>188</v>
      </c>
      <c r="K23" s="526">
        <f>l_r</f>
        <v>50</v>
      </c>
      <c r="N23" s="75"/>
      <c r="O23" s="273"/>
      <c r="P23" s="436"/>
      <c r="Q23" s="48"/>
      <c r="R23" s="48"/>
      <c r="S23" s="48"/>
      <c r="T23" s="226"/>
      <c r="U23" s="436"/>
    </row>
    <row r="24" spans="2:21" x14ac:dyDescent="0.3">
      <c r="B24" s="74"/>
      <c r="C24" s="526" t="s">
        <v>438</v>
      </c>
      <c r="D24" s="526">
        <f>Long_tot</f>
        <v>2195</v>
      </c>
      <c r="E24" s="527" t="s">
        <v>441</v>
      </c>
      <c r="F24" s="528">
        <f>n_ail</f>
        <v>150</v>
      </c>
      <c r="G24" s="526">
        <f>n_can</f>
        <v>10</v>
      </c>
      <c r="I24" s="529" t="s">
        <v>447</v>
      </c>
      <c r="J24" s="528">
        <f>D1j</f>
        <v>90</v>
      </c>
      <c r="K24" s="526">
        <f>D1r</f>
        <v>100</v>
      </c>
      <c r="N24" s="75"/>
      <c r="O24" s="273"/>
      <c r="P24" s="436"/>
      <c r="Q24" s="48"/>
      <c r="R24" s="48"/>
      <c r="S24" s="48"/>
      <c r="T24" s="226"/>
      <c r="U24" s="436"/>
    </row>
    <row r="25" spans="2:21" x14ac:dyDescent="0.3">
      <c r="B25" s="74"/>
      <c r="C25" s="526" t="s">
        <v>439</v>
      </c>
      <c r="D25" s="526">
        <f>XpropuRef</f>
        <v>2204</v>
      </c>
      <c r="E25" s="527" t="s">
        <v>442</v>
      </c>
      <c r="F25" s="528">
        <f>p_ail</f>
        <v>73</v>
      </c>
      <c r="G25" s="526">
        <f>p_can</f>
        <v>40</v>
      </c>
      <c r="I25" s="529" t="s">
        <v>448</v>
      </c>
      <c r="J25" s="528">
        <f>D2j</f>
        <v>100</v>
      </c>
      <c r="K25" s="526">
        <f>D2r</f>
        <v>100</v>
      </c>
      <c r="N25" s="75"/>
      <c r="O25" s="273"/>
      <c r="P25" s="436"/>
      <c r="Q25" s="48"/>
      <c r="R25" s="48"/>
      <c r="S25" s="48"/>
      <c r="T25" s="226"/>
      <c r="U25" s="436"/>
    </row>
    <row r="26" spans="2:21" x14ac:dyDescent="0.3">
      <c r="B26" s="74"/>
      <c r="C26" s="526" t="s">
        <v>436</v>
      </c>
      <c r="D26" s="526">
        <f>D_ref</f>
        <v>100</v>
      </c>
      <c r="E26" s="527" t="s">
        <v>443</v>
      </c>
      <c r="F26" s="528">
        <f>E_ail</f>
        <v>125</v>
      </c>
      <c r="G26" s="526">
        <f>E_can</f>
        <v>50</v>
      </c>
      <c r="I26" s="529" t="s">
        <v>449</v>
      </c>
      <c r="J26" s="528">
        <f>X_j</f>
        <v>40</v>
      </c>
      <c r="K26" s="526">
        <f>X_r</f>
        <v>500</v>
      </c>
      <c r="N26" s="75"/>
      <c r="O26" s="273"/>
      <c r="P26" s="436"/>
      <c r="Q26" s="48"/>
      <c r="R26" s="48"/>
      <c r="S26" s="48"/>
      <c r="T26" s="226"/>
      <c r="U26" s="436"/>
    </row>
    <row r="27" spans="2:21" x14ac:dyDescent="0.3">
      <c r="B27" s="74"/>
      <c r="C27" s="526" t="s">
        <v>437</v>
      </c>
      <c r="D27" s="526">
        <f>Long_ogive</f>
        <v>40</v>
      </c>
      <c r="E27" s="527" t="s">
        <v>444</v>
      </c>
      <c r="F27" s="528">
        <f>X_ail</f>
        <v>2195</v>
      </c>
      <c r="G27" s="526">
        <f>X_can</f>
        <v>700</v>
      </c>
      <c r="H27" s="518"/>
      <c r="I27" s="3"/>
      <c r="J27" s="2"/>
      <c r="N27" s="75"/>
      <c r="O27" s="273"/>
      <c r="P27" s="436"/>
      <c r="Q27" s="48"/>
      <c r="R27" s="48"/>
      <c r="S27" s="48"/>
      <c r="T27" s="226"/>
      <c r="U27" s="436"/>
    </row>
    <row r="28" spans="2:21" ht="12.9" thickBot="1" x14ac:dyDescent="0.35">
      <c r="B28" s="74"/>
      <c r="E28" s="95"/>
      <c r="N28" s="75"/>
      <c r="O28" s="2"/>
      <c r="P28" s="6"/>
      <c r="Q28" s="2"/>
      <c r="R28" s="48"/>
      <c r="S28" s="48"/>
      <c r="T28" s="48"/>
      <c r="U28" s="436"/>
    </row>
    <row r="29" spans="2:21" ht="12.9" thickBot="1" x14ac:dyDescent="0.35">
      <c r="B29" s="74"/>
      <c r="C29" s="677" t="s">
        <v>141</v>
      </c>
      <c r="D29" s="677" t="s">
        <v>133</v>
      </c>
      <c r="E29" s="677" t="s">
        <v>134</v>
      </c>
      <c r="F29" s="677"/>
      <c r="G29" s="677"/>
      <c r="H29" s="678" t="s">
        <v>135</v>
      </c>
      <c r="I29" s="678"/>
      <c r="J29" s="678"/>
      <c r="K29" s="678"/>
      <c r="L29" s="677" t="s">
        <v>136</v>
      </c>
      <c r="M29" s="677" t="s">
        <v>137</v>
      </c>
      <c r="N29" s="75"/>
      <c r="O29" s="273" t="s">
        <v>428</v>
      </c>
      <c r="P29" s="441">
        <f>n_ail</f>
        <v>150</v>
      </c>
      <c r="Q29" s="2"/>
      <c r="R29" s="48"/>
      <c r="S29" s="48"/>
      <c r="T29" s="48"/>
      <c r="U29" s="12" t="s">
        <v>432</v>
      </c>
    </row>
    <row r="30" spans="2:21" ht="12.9" thickBot="1" x14ac:dyDescent="0.35">
      <c r="B30" s="74"/>
      <c r="C30" s="677"/>
      <c r="D30" s="677"/>
      <c r="E30" s="677"/>
      <c r="F30" s="677"/>
      <c r="G30" s="677"/>
      <c r="H30" s="678" t="s">
        <v>138</v>
      </c>
      <c r="I30" s="678"/>
      <c r="J30" s="69" t="s">
        <v>139</v>
      </c>
      <c r="K30" s="70" t="s">
        <v>140</v>
      </c>
      <c r="L30" s="677"/>
      <c r="M30" s="677"/>
      <c r="N30" s="75"/>
      <c r="P30" s="12"/>
      <c r="R30" s="48"/>
      <c r="S30" s="48"/>
      <c r="T30" s="226" t="s">
        <v>430</v>
      </c>
      <c r="U30" s="523">
        <f>[0]!p_can</f>
        <v>40</v>
      </c>
    </row>
    <row r="31" spans="2:21" ht="12.9" thickBot="1" x14ac:dyDescent="0.35">
      <c r="B31" s="74"/>
      <c r="C31" s="83">
        <f>Beta_rampe</f>
        <v>80</v>
      </c>
      <c r="D31" s="84">
        <f ca="1">Portee_balistique</f>
        <v>764.67878961306644</v>
      </c>
      <c r="E31" s="676">
        <f ca="1">T_para+Dt_para</f>
        <v>169.31015755242441</v>
      </c>
      <c r="F31" s="676"/>
      <c r="G31" s="676"/>
      <c r="H31" s="679">
        <f ca="1">Altitude_culmi</f>
        <v>1273.1404284248381</v>
      </c>
      <c r="I31" s="679"/>
      <c r="J31" s="85">
        <f ca="1">Temps_culmi</f>
        <v>15.399999999999963</v>
      </c>
      <c r="K31" s="86">
        <f ca="1">Vit_culmi</f>
        <v>23.645575032442181</v>
      </c>
      <c r="L31" s="84">
        <f ca="1">Acc_max</f>
        <v>132.83173906443665</v>
      </c>
      <c r="M31" s="86">
        <f ca="1">Vit_max</f>
        <v>194.47396094036492</v>
      </c>
      <c r="N31" s="75"/>
      <c r="O31" s="273" t="s">
        <v>434</v>
      </c>
      <c r="P31" s="441">
        <f>ep_ail</f>
        <v>2</v>
      </c>
      <c r="Q31" s="2"/>
      <c r="R31" s="48"/>
      <c r="S31" s="48"/>
      <c r="T31" s="226" t="s">
        <v>342</v>
      </c>
      <c r="U31" s="523">
        <f>[0]!m_can</f>
        <v>70</v>
      </c>
    </row>
    <row r="32" spans="2:21" ht="12.9" thickBot="1" x14ac:dyDescent="0.35">
      <c r="B32" s="74"/>
      <c r="C32" s="520"/>
      <c r="D32" s="242"/>
      <c r="E32" s="247"/>
      <c r="F32" s="247"/>
      <c r="G32" s="247"/>
      <c r="H32" s="283"/>
      <c r="I32" s="283"/>
      <c r="J32" s="247"/>
      <c r="K32" s="248"/>
      <c r="L32" s="242"/>
      <c r="M32" s="248"/>
      <c r="N32" s="75"/>
      <c r="O32" s="273" t="s">
        <v>433</v>
      </c>
      <c r="P32" s="522">
        <f>Q_ail</f>
        <v>4</v>
      </c>
      <c r="Q32" s="2"/>
      <c r="R32" s="48"/>
      <c r="S32" s="48"/>
      <c r="T32" s="226" t="s">
        <v>428</v>
      </c>
      <c r="U32" s="523">
        <f>[0]!n_can</f>
        <v>10</v>
      </c>
    </row>
    <row r="33" spans="2:21" ht="12.9" thickBot="1" x14ac:dyDescent="0.35">
      <c r="B33" s="74"/>
      <c r="D33" s="80"/>
      <c r="E33" s="81"/>
      <c r="F33" s="81"/>
      <c r="G33" s="81"/>
      <c r="H33" s="82"/>
      <c r="I33" s="82"/>
      <c r="J33" s="81"/>
      <c r="K33" s="76"/>
      <c r="L33" s="80"/>
      <c r="M33" s="76"/>
      <c r="N33" s="75"/>
      <c r="O33" s="2"/>
      <c r="Q33" s="2"/>
      <c r="R33" s="48"/>
      <c r="S33" s="48"/>
      <c r="T33" s="226" t="s">
        <v>429</v>
      </c>
      <c r="U33" s="523">
        <f>[0]!E_can</f>
        <v>50</v>
      </c>
    </row>
    <row r="34" spans="2:21" ht="12.9" thickBot="1" x14ac:dyDescent="0.35">
      <c r="B34" s="77"/>
      <c r="C34" s="78"/>
      <c r="D34" s="78"/>
      <c r="E34" s="78"/>
      <c r="F34" s="78"/>
      <c r="G34" s="78"/>
      <c r="H34" s="78"/>
      <c r="I34" s="78"/>
      <c r="J34" s="78"/>
      <c r="K34" s="78"/>
      <c r="L34" s="78"/>
      <c r="M34" s="78"/>
      <c r="N34" s="79"/>
      <c r="O34" s="2"/>
      <c r="P34" s="273" t="s">
        <v>429</v>
      </c>
      <c r="Q34" s="441">
        <f>E_ail</f>
        <v>125</v>
      </c>
      <c r="T34" s="226" t="s">
        <v>434</v>
      </c>
      <c r="U34" s="523">
        <f>[0]!ep_can</f>
        <v>2</v>
      </c>
    </row>
    <row r="35" spans="2:21" x14ac:dyDescent="0.3">
      <c r="O35" s="2"/>
      <c r="P35" s="6"/>
      <c r="Q35" s="6"/>
      <c r="T35" s="226" t="s">
        <v>433</v>
      </c>
      <c r="U35" s="523">
        <f>[0]!Q_can</f>
        <v>4</v>
      </c>
    </row>
    <row r="36" spans="2:21" ht="12.9" thickBot="1" x14ac:dyDescent="0.35">
      <c r="T36" s="2"/>
      <c r="U36" s="12"/>
    </row>
    <row r="37" spans="2:21" x14ac:dyDescent="0.3">
      <c r="B37" s="71"/>
      <c r="C37" s="72"/>
      <c r="D37" s="72"/>
      <c r="E37" s="72"/>
      <c r="F37" s="72"/>
      <c r="G37" s="72"/>
      <c r="H37" s="72"/>
      <c r="I37" s="72"/>
      <c r="J37" s="72"/>
      <c r="K37" s="72"/>
      <c r="L37" s="72"/>
      <c r="M37" s="72"/>
      <c r="N37" s="73"/>
      <c r="T37" s="2"/>
    </row>
    <row r="38" spans="2:21" x14ac:dyDescent="0.3">
      <c r="B38" s="74"/>
      <c r="D38" s="2" t="s">
        <v>195</v>
      </c>
      <c r="H38" s="273" t="s">
        <v>561</v>
      </c>
      <c r="I38" t="str">
        <f>Matricule</f>
        <v>FX10</v>
      </c>
      <c r="N38" s="75"/>
    </row>
    <row r="39" spans="2:21" x14ac:dyDescent="0.3">
      <c r="B39" s="74"/>
      <c r="D39" s="2"/>
      <c r="N39" s="75"/>
    </row>
    <row r="40" spans="2:21" x14ac:dyDescent="0.3">
      <c r="B40" s="74"/>
      <c r="D40" s="275" t="s">
        <v>149</v>
      </c>
      <c r="E40" s="246">
        <f>D_ref</f>
        <v>100</v>
      </c>
      <c r="F40" s="265"/>
      <c r="G40" s="265"/>
      <c r="H40" s="261" t="s">
        <v>198</v>
      </c>
      <c r="I40" s="261" t="s">
        <v>199</v>
      </c>
      <c r="J40" s="262" t="s">
        <v>200</v>
      </c>
      <c r="N40" s="75"/>
    </row>
    <row r="41" spans="2:21" x14ac:dyDescent="0.3">
      <c r="B41" s="74"/>
      <c r="D41" s="276" t="s">
        <v>147</v>
      </c>
      <c r="E41" s="6">
        <f>Long_ogive</f>
        <v>40</v>
      </c>
      <c r="F41" s="2"/>
      <c r="G41" s="2" t="s">
        <v>201</v>
      </c>
      <c r="H41" s="6">
        <f>MasseSans</f>
        <v>7.9</v>
      </c>
      <c r="I41" s="6">
        <f ca="1">MasseVide</f>
        <v>8.5500000000000007</v>
      </c>
      <c r="J41" s="244">
        <f ca="1">MassePlein</f>
        <v>9.532</v>
      </c>
      <c r="N41" s="75"/>
    </row>
    <row r="42" spans="2:21" x14ac:dyDescent="0.3">
      <c r="B42" s="74"/>
      <c r="D42" s="276" t="s">
        <v>150</v>
      </c>
      <c r="E42" s="6">
        <f>X_ail-m_ail</f>
        <v>1905</v>
      </c>
      <c r="F42" s="255"/>
      <c r="G42" s="255" t="s">
        <v>218</v>
      </c>
      <c r="H42" s="263">
        <f>XcgSans</f>
        <v>1180</v>
      </c>
      <c r="I42" s="263">
        <f ca="1">XcgVide</f>
        <v>1238.9941520467835</v>
      </c>
      <c r="J42" s="245">
        <f ca="1">XcgPlein</f>
        <v>1314.5732270247586</v>
      </c>
      <c r="N42" s="75"/>
    </row>
    <row r="43" spans="2:21" x14ac:dyDescent="0.3">
      <c r="B43" s="74"/>
      <c r="D43" s="276" t="str">
        <f>IF(Lang="Français","Emplanture 'm'",IF(Lang="English","Root edge  'm'",""))</f>
        <v>Emplanture 'm'</v>
      </c>
      <c r="E43" s="244">
        <f>m_ail</f>
        <v>290</v>
      </c>
      <c r="N43" s="75"/>
    </row>
    <row r="44" spans="2:21" x14ac:dyDescent="0.3">
      <c r="B44" s="74"/>
      <c r="D44" s="276" t="str">
        <f>IF(Lang="Français","Saumon      'n'",IF(Lang="English","Tip edge    'n'",""))</f>
        <v>Saumon      'n'</v>
      </c>
      <c r="E44" s="244">
        <f>n_ail</f>
        <v>150</v>
      </c>
      <c r="F44" s="246" t="s">
        <v>202</v>
      </c>
      <c r="G44" s="246" t="s">
        <v>207</v>
      </c>
      <c r="H44" s="672">
        <f ca="1">Vsortie_de_rampe</f>
        <v>31.548677347376938</v>
      </c>
      <c r="I44" s="673"/>
      <c r="N44" s="75"/>
    </row>
    <row r="45" spans="2:21" x14ac:dyDescent="0.3">
      <c r="B45" s="74"/>
      <c r="D45" s="276" t="str">
        <f>IF(Lang="Français","Flèche        'p'",IF(Lang="English","Offset         'p'",""))</f>
        <v>Flèche        'p'</v>
      </c>
      <c r="E45" s="244">
        <f>p_ail</f>
        <v>73</v>
      </c>
      <c r="F45" s="6" t="s">
        <v>203</v>
      </c>
      <c r="G45" s="6" t="s">
        <v>208</v>
      </c>
      <c r="H45" s="674">
        <f>Finesse</f>
        <v>21.95</v>
      </c>
      <c r="I45" s="675"/>
      <c r="N45" s="75"/>
    </row>
    <row r="46" spans="2:21" x14ac:dyDescent="0.3">
      <c r="B46" s="74"/>
      <c r="D46" s="276" t="str">
        <f>IF(Lang="Français","Envergure   'E'",IF(Lang="English","Span          'E'",""))</f>
        <v>Envergure   'E'</v>
      </c>
      <c r="E46" s="244">
        <f>E_ail</f>
        <v>125</v>
      </c>
      <c r="F46" s="6" t="s">
        <v>204</v>
      </c>
      <c r="G46" s="6" t="s">
        <v>209</v>
      </c>
      <c r="H46" s="674">
        <f>Cn</f>
        <v>16.948604812047883</v>
      </c>
      <c r="I46" s="675"/>
      <c r="N46" s="75"/>
    </row>
    <row r="47" spans="2:21" x14ac:dyDescent="0.3">
      <c r="B47" s="74"/>
      <c r="D47" s="276" t="s">
        <v>144</v>
      </c>
      <c r="E47" s="244">
        <f>ep_ail</f>
        <v>2</v>
      </c>
      <c r="F47" s="6" t="s">
        <v>205</v>
      </c>
      <c r="G47" s="6" t="s">
        <v>210</v>
      </c>
      <c r="H47" s="247">
        <f ca="1">MS_min</f>
        <v>4.4950781692231727</v>
      </c>
      <c r="I47" s="254">
        <f ca="1">MS_max</f>
        <v>5.2508689190029232</v>
      </c>
      <c r="N47" s="75"/>
    </row>
    <row r="48" spans="2:21" x14ac:dyDescent="0.3">
      <c r="B48" s="74"/>
      <c r="D48" s="276" t="s">
        <v>145</v>
      </c>
      <c r="E48" s="244">
        <f>Q_ail</f>
        <v>4</v>
      </c>
      <c r="F48" s="274" t="s">
        <v>206</v>
      </c>
      <c r="G48" s="274" t="s">
        <v>211</v>
      </c>
      <c r="H48" s="256">
        <f ca="1">MS_Cn_min</f>
        <v>76.185303489427255</v>
      </c>
      <c r="I48" s="264">
        <f ca="1">MS_Cn_max</f>
        <v>88.994902228045603</v>
      </c>
      <c r="N48" s="75"/>
    </row>
    <row r="49" spans="2:14" x14ac:dyDescent="0.3">
      <c r="B49" s="74"/>
      <c r="D49" s="276" t="s">
        <v>148</v>
      </c>
      <c r="E49" s="244">
        <f ca="1">XpropuRef-Long_propu</f>
        <v>1716</v>
      </c>
      <c r="N49" s="75"/>
    </row>
    <row r="50" spans="2:14" x14ac:dyDescent="0.3">
      <c r="B50" s="74"/>
      <c r="D50" s="276" t="s">
        <v>146</v>
      </c>
      <c r="E50" s="272" t="str">
        <f>Forme_ogive</f>
        <v>Parabolique (arrondie)</v>
      </c>
      <c r="F50" s="273" t="s">
        <v>183</v>
      </c>
      <c r="G50" s="275" t="s">
        <v>5</v>
      </c>
      <c r="H50" s="246">
        <f>Cx</f>
        <v>0.7</v>
      </c>
      <c r="I50" s="265"/>
      <c r="J50" s="266"/>
      <c r="N50" s="75"/>
    </row>
    <row r="51" spans="2:14" x14ac:dyDescent="0.3">
      <c r="B51" s="74"/>
      <c r="D51" s="276" t="s">
        <v>142</v>
      </c>
      <c r="E51" s="244">
        <f>Long_tot</f>
        <v>2195</v>
      </c>
      <c r="G51" s="276" t="s">
        <v>212</v>
      </c>
      <c r="H51" s="6">
        <f>Sref</f>
        <v>8.8539816339744826E-3</v>
      </c>
      <c r="J51" s="267"/>
      <c r="N51" s="75"/>
    </row>
    <row r="52" spans="2:14" x14ac:dyDescent="0.3">
      <c r="B52" s="74"/>
      <c r="D52" s="276" t="s">
        <v>196</v>
      </c>
      <c r="E52" s="244">
        <f>MAX(D_ref,D_ail,D_og,(RIGHT(Nb_diam,1)=",")*MAX(D1j,D1r,D2j,D2r))</f>
        <v>100</v>
      </c>
      <c r="G52" s="276" t="s">
        <v>213</v>
      </c>
      <c r="H52" s="6">
        <f>Beta_rampe</f>
        <v>80</v>
      </c>
      <c r="I52" s="6">
        <v>80</v>
      </c>
      <c r="J52" s="244">
        <v>90</v>
      </c>
      <c r="N52" s="75"/>
    </row>
    <row r="53" spans="2:14" x14ac:dyDescent="0.3">
      <c r="B53" s="74"/>
      <c r="D53" s="277" t="s">
        <v>197</v>
      </c>
      <c r="E53" s="260">
        <f>E_ail*2+D_ail</f>
        <v>350</v>
      </c>
      <c r="G53" s="278" t="s">
        <v>215</v>
      </c>
      <c r="H53" s="247">
        <f ca="1">Temps_culmi</f>
        <v>15.399999999999963</v>
      </c>
      <c r="I53" s="259"/>
      <c r="J53" s="268"/>
      <c r="N53" s="75"/>
    </row>
    <row r="54" spans="2:14" x14ac:dyDescent="0.3">
      <c r="B54" s="74"/>
      <c r="G54" s="278" t="s">
        <v>216</v>
      </c>
      <c r="H54" s="242">
        <f ca="1">Altitude_culmi</f>
        <v>1273.1404284248381</v>
      </c>
      <c r="I54" s="259"/>
      <c r="J54" s="268"/>
      <c r="N54" s="75"/>
    </row>
    <row r="55" spans="2:14" x14ac:dyDescent="0.3">
      <c r="B55" s="74"/>
      <c r="C55" s="275" t="s">
        <v>233</v>
      </c>
      <c r="D55" s="249" t="s">
        <v>60</v>
      </c>
      <c r="E55" s="243">
        <f>Long_tot</f>
        <v>2195</v>
      </c>
      <c r="G55" s="278" t="s">
        <v>217</v>
      </c>
      <c r="H55" s="248">
        <f ca="1">Vit_culmi</f>
        <v>23.645575032442181</v>
      </c>
      <c r="I55" s="259"/>
      <c r="J55" s="268"/>
      <c r="N55" s="75"/>
    </row>
    <row r="56" spans="2:14" x14ac:dyDescent="0.3">
      <c r="B56" s="74"/>
      <c r="C56" s="276"/>
      <c r="D56" s="2" t="s">
        <v>219</v>
      </c>
      <c r="E56" s="244">
        <f>MAX(D_ref,D_ail,D_og,(RIGHT(Nb_diam,1)=",")*MAX(D1j,D1r,D2j,D2r))</f>
        <v>100</v>
      </c>
      <c r="G56" s="278" t="s">
        <v>133</v>
      </c>
      <c r="H56" s="242">
        <f ca="1">Portee_balistique</f>
        <v>764.67878961306644</v>
      </c>
      <c r="I56" s="259"/>
      <c r="J56" s="268"/>
      <c r="N56" s="75"/>
    </row>
    <row r="57" spans="2:14" x14ac:dyDescent="0.3">
      <c r="B57" s="74"/>
      <c r="C57" s="276"/>
      <c r="D57" s="2" t="s">
        <v>220</v>
      </c>
      <c r="E57" s="244">
        <f>E_ail*2+D_ail</f>
        <v>350</v>
      </c>
      <c r="G57" s="278" t="s">
        <v>214</v>
      </c>
      <c r="H57" s="242">
        <f ca="1">T_balistique</f>
        <v>33.1000000000002</v>
      </c>
      <c r="I57" s="259"/>
      <c r="J57" s="268"/>
      <c r="N57" s="75"/>
    </row>
    <row r="58" spans="2:14" x14ac:dyDescent="0.3">
      <c r="B58" s="74"/>
      <c r="C58" s="276"/>
      <c r="D58" s="2" t="s">
        <v>221</v>
      </c>
      <c r="E58" s="244">
        <f ca="1">MassePlein</f>
        <v>9.532</v>
      </c>
      <c r="G58" s="278" t="s">
        <v>137</v>
      </c>
      <c r="H58" s="248">
        <f ca="1">Vit_max</f>
        <v>194.47396094036492</v>
      </c>
      <c r="I58" s="259"/>
      <c r="J58" s="268"/>
      <c r="N58" s="75"/>
    </row>
    <row r="59" spans="2:14" x14ac:dyDescent="0.3">
      <c r="B59" s="74"/>
      <c r="C59" s="277" t="s">
        <v>234</v>
      </c>
      <c r="D59" s="255" t="s">
        <v>145</v>
      </c>
      <c r="E59" s="260">
        <f>Q_ail</f>
        <v>4</v>
      </c>
      <c r="G59" s="278" t="s">
        <v>136</v>
      </c>
      <c r="H59" s="242">
        <f ca="1">Acc_max</f>
        <v>132.83173906443665</v>
      </c>
      <c r="I59" s="259"/>
      <c r="J59" s="268"/>
      <c r="N59" s="75"/>
    </row>
    <row r="60" spans="2:14" x14ac:dyDescent="0.3">
      <c r="B60" s="74"/>
      <c r="C60" s="12"/>
      <c r="G60" s="269" t="s">
        <v>222</v>
      </c>
      <c r="H60" s="270"/>
      <c r="I60" s="270"/>
      <c r="J60" s="271"/>
      <c r="N60" s="75"/>
    </row>
    <row r="61" spans="2:14" x14ac:dyDescent="0.3">
      <c r="B61" s="74"/>
      <c r="C61" s="275"/>
      <c r="D61" s="249"/>
      <c r="E61" s="246" t="s">
        <v>226</v>
      </c>
      <c r="F61" s="243" t="s">
        <v>227</v>
      </c>
      <c r="G61" s="2"/>
      <c r="H61" s="2"/>
      <c r="I61" s="2"/>
      <c r="J61" s="2"/>
      <c r="K61" s="2"/>
      <c r="N61" s="75"/>
    </row>
    <row r="62" spans="2:14" x14ac:dyDescent="0.3">
      <c r="B62" s="74"/>
      <c r="C62" s="276" t="s">
        <v>235</v>
      </c>
      <c r="D62" s="2" t="s">
        <v>225</v>
      </c>
      <c r="E62" s="242">
        <f ca="1">2*Acc_max*MassePlein</f>
        <v>2532.3042735244203</v>
      </c>
      <c r="F62" s="280">
        <f ca="1">E62/9.81</f>
        <v>258.13499220432419</v>
      </c>
      <c r="H62" s="2"/>
      <c r="I62" s="2"/>
      <c r="J62" s="2"/>
      <c r="K62" s="2"/>
      <c r="N62" s="75"/>
    </row>
    <row r="63" spans="2:14" x14ac:dyDescent="0.3">
      <c r="B63" s="74"/>
      <c r="C63" s="276"/>
      <c r="D63" s="2" t="s">
        <v>223</v>
      </c>
      <c r="E63" s="242">
        <f ca="1">2*Acc_max*Masse_ail</f>
        <v>29.222982594176063</v>
      </c>
      <c r="F63" s="248">
        <f ca="1">E63/9.81</f>
        <v>2.9788973082748278</v>
      </c>
      <c r="G63" s="246" t="s">
        <v>229</v>
      </c>
      <c r="H63" s="288">
        <f>S_ail*(ep_ail/1000)*2000</f>
        <v>0.11</v>
      </c>
      <c r="I63" s="2"/>
      <c r="J63" s="2"/>
      <c r="K63" s="2"/>
      <c r="N63" s="75"/>
    </row>
    <row r="64" spans="2:14" x14ac:dyDescent="0.3">
      <c r="B64" s="74"/>
      <c r="C64" s="277"/>
      <c r="D64" s="255" t="s">
        <v>224</v>
      </c>
      <c r="E64" s="263">
        <f ca="1">0.104*S_ail*Vit_max^2</f>
        <v>108.16554744376688</v>
      </c>
      <c r="F64" s="281">
        <f ca="1">E64/9.81</f>
        <v>11.026049688457379</v>
      </c>
      <c r="G64" s="274" t="s">
        <v>228</v>
      </c>
      <c r="H64" s="289">
        <f>(E_ail*(m_ail+n_ail)/2)/10^6</f>
        <v>2.75E-2</v>
      </c>
      <c r="I64" s="2"/>
      <c r="J64" s="2"/>
      <c r="K64" s="2"/>
      <c r="N64" s="75"/>
    </row>
    <row r="65" spans="2:14" x14ac:dyDescent="0.3">
      <c r="B65" s="74"/>
      <c r="C65" s="282" t="s">
        <v>242</v>
      </c>
      <c r="D65" s="285" t="s">
        <v>240</v>
      </c>
      <c r="E65" s="286">
        <f ca="1">2*Acc_max*H65</f>
        <v>1266.1521367622101</v>
      </c>
      <c r="F65" s="286">
        <f ca="1">E65/9.81</f>
        <v>129.0674961021621</v>
      </c>
      <c r="G65" s="287" t="s">
        <v>241</v>
      </c>
      <c r="H65" s="279">
        <f ca="1">E58/2</f>
        <v>4.766</v>
      </c>
      <c r="I65" s="2"/>
      <c r="J65" s="2"/>
      <c r="K65" s="2"/>
      <c r="N65" s="75"/>
    </row>
    <row r="66" spans="2:14" x14ac:dyDescent="0.3">
      <c r="B66" s="74"/>
      <c r="C66" s="6"/>
      <c r="D66" s="2"/>
      <c r="E66" s="2"/>
      <c r="F66" s="2"/>
      <c r="G66" s="2"/>
      <c r="H66" s="2"/>
      <c r="I66" s="2"/>
      <c r="J66" s="2"/>
      <c r="K66" s="2"/>
      <c r="N66" s="75"/>
    </row>
    <row r="67" spans="2:14" x14ac:dyDescent="0.3">
      <c r="B67" s="74"/>
      <c r="F67" s="275" t="s">
        <v>232</v>
      </c>
      <c r="G67" s="249" t="s">
        <v>230</v>
      </c>
      <c r="H67" s="250">
        <f>T_para</f>
        <v>16</v>
      </c>
      <c r="I67" s="251">
        <f ca="1">Temps_culmi</f>
        <v>15.399999999999963</v>
      </c>
      <c r="J67" s="2"/>
      <c r="K67" s="2"/>
      <c r="N67" s="75"/>
    </row>
    <row r="68" spans="2:14" x14ac:dyDescent="0.3">
      <c r="B68" s="74"/>
      <c r="C68" s="6"/>
      <c r="D68" s="2"/>
      <c r="E68" s="2"/>
      <c r="F68" s="275" t="s">
        <v>231</v>
      </c>
      <c r="G68" s="249" t="s">
        <v>129</v>
      </c>
      <c r="H68" s="250">
        <f ca="1">V_para</f>
        <v>8.2954123010607681</v>
      </c>
      <c r="I68" s="251">
        <f>V_satellite</f>
        <v>12.655562623057198</v>
      </c>
      <c r="J68" s="2"/>
      <c r="K68" s="2"/>
      <c r="N68" s="75"/>
    </row>
    <row r="69" spans="2:14" x14ac:dyDescent="0.3">
      <c r="B69" s="74"/>
      <c r="C69" s="6"/>
      <c r="D69" s="2"/>
      <c r="E69" s="2"/>
      <c r="F69" s="276"/>
      <c r="G69" s="2" t="s">
        <v>237</v>
      </c>
      <c r="H69" s="247">
        <f>S_para</f>
        <v>1.99</v>
      </c>
      <c r="I69" s="253">
        <f>S_satellite</f>
        <v>0.1</v>
      </c>
      <c r="J69" s="2"/>
      <c r="K69" s="2"/>
      <c r="N69" s="75"/>
    </row>
    <row r="70" spans="2:14" x14ac:dyDescent="0.3">
      <c r="B70" s="74"/>
      <c r="C70" s="226"/>
      <c r="D70" s="2"/>
      <c r="F70" s="276"/>
      <c r="G70" s="2" t="s">
        <v>236</v>
      </c>
      <c r="H70" s="247">
        <f ca="1">V_ouverture</f>
        <v>24.077458328185784</v>
      </c>
      <c r="I70" s="253">
        <f ca="1">V_ouv_sat</f>
        <v>153.40068044229238</v>
      </c>
      <c r="N70" s="75"/>
    </row>
    <row r="71" spans="2:14" x14ac:dyDescent="0.3">
      <c r="B71" s="74"/>
      <c r="C71" s="226"/>
      <c r="F71" s="276"/>
      <c r="G71" s="2" t="s">
        <v>201</v>
      </c>
      <c r="H71" s="247">
        <f ca="1">m_vide</f>
        <v>8.5500000000000007</v>
      </c>
      <c r="I71" s="253">
        <f>m_satellite</f>
        <v>1</v>
      </c>
      <c r="N71" s="75"/>
    </row>
    <row r="72" spans="2:14" x14ac:dyDescent="0.3">
      <c r="B72" s="74"/>
      <c r="C72" s="226"/>
      <c r="F72" s="276"/>
      <c r="G72" s="2" t="s">
        <v>238</v>
      </c>
      <c r="H72" s="283">
        <f ca="1">1/2*Rho_moyen*S_para*V_ouverture^2</f>
        <v>706.61108994604933</v>
      </c>
      <c r="I72" s="284">
        <f ca="1">1/2*Rho_moyen*S_satellite*V_ouv_sat^2</f>
        <v>1441.3208365596963</v>
      </c>
      <c r="N72" s="75"/>
    </row>
    <row r="73" spans="2:14" x14ac:dyDescent="0.3">
      <c r="B73" s="74"/>
      <c r="D73" s="2"/>
      <c r="F73" s="277"/>
      <c r="G73" s="255" t="s">
        <v>239</v>
      </c>
      <c r="H73" s="256">
        <f ca="1">H72/9.81</f>
        <v>72.029672777375055</v>
      </c>
      <c r="I73" s="257">
        <f ca="1">I72/9.81</f>
        <v>146.92363267682938</v>
      </c>
      <c r="N73" s="75"/>
    </row>
    <row r="74" spans="2:14" ht="12.9" thickBot="1" x14ac:dyDescent="0.35">
      <c r="B74" s="77"/>
      <c r="C74" s="78"/>
      <c r="D74" s="78"/>
      <c r="E74" s="78"/>
      <c r="F74" s="78"/>
      <c r="G74" s="78"/>
      <c r="H74" s="78"/>
      <c r="I74" s="78"/>
      <c r="J74" s="78"/>
      <c r="K74" s="78"/>
      <c r="L74" s="78"/>
      <c r="M74" s="78"/>
      <c r="N74" s="79"/>
    </row>
    <row r="76" spans="2:14" ht="12.9" thickBot="1" x14ac:dyDescent="0.35"/>
    <row r="77" spans="2:14" x14ac:dyDescent="0.3">
      <c r="B77" s="71"/>
      <c r="C77" s="72"/>
      <c r="D77" s="72"/>
      <c r="E77" s="72"/>
      <c r="F77" s="72"/>
      <c r="G77" s="72"/>
      <c r="H77" s="72"/>
      <c r="I77" s="72"/>
      <c r="J77" s="72"/>
      <c r="K77" s="72"/>
      <c r="L77" s="72"/>
      <c r="M77" s="72"/>
      <c r="N77" s="73"/>
    </row>
    <row r="78" spans="2:14" x14ac:dyDescent="0.3">
      <c r="B78" s="74"/>
      <c r="D78" s="2" t="s">
        <v>331</v>
      </c>
      <c r="N78" s="75"/>
    </row>
    <row r="79" spans="2:14" ht="12.75" customHeight="1" x14ac:dyDescent="0.4">
      <c r="B79" s="74"/>
      <c r="E79" s="48"/>
      <c r="F79" s="48"/>
      <c r="G79" s="435" t="s">
        <v>337</v>
      </c>
      <c r="I79" s="448"/>
      <c r="J79" s="48"/>
      <c r="K79" s="48"/>
      <c r="N79" s="75"/>
    </row>
    <row r="80" spans="2:14" x14ac:dyDescent="0.3">
      <c r="B80" s="74"/>
      <c r="C80" s="275" t="s">
        <v>332</v>
      </c>
      <c r="D80" s="243" t="str">
        <f>Nom</f>
        <v>Hellfire</v>
      </c>
      <c r="E80" s="48"/>
      <c r="F80" s="48"/>
      <c r="G80" s="48"/>
      <c r="H80" s="48"/>
      <c r="I80" s="48"/>
      <c r="J80" s="48"/>
      <c r="K80" s="48"/>
      <c r="N80" s="75"/>
    </row>
    <row r="81" spans="2:14" ht="12.9" thickBot="1" x14ac:dyDescent="0.35">
      <c r="B81" s="74"/>
      <c r="C81" s="276" t="s">
        <v>4</v>
      </c>
      <c r="D81" s="244" t="str">
        <f>Club</f>
        <v>Acelspace</v>
      </c>
      <c r="E81" s="48"/>
      <c r="F81" s="48"/>
      <c r="G81" s="48"/>
      <c r="H81" s="48"/>
      <c r="I81" s="48"/>
      <c r="J81" s="48"/>
      <c r="K81" s="48"/>
      <c r="N81" s="75"/>
    </row>
    <row r="82" spans="2:14" ht="12.9" thickBot="1" x14ac:dyDescent="0.35">
      <c r="B82" s="74"/>
      <c r="C82" s="432" t="s">
        <v>333</v>
      </c>
      <c r="D82" s="244" t="s">
        <v>14</v>
      </c>
      <c r="E82" s="273" t="s">
        <v>338</v>
      </c>
      <c r="F82" s="441">
        <f>Long_ogive</f>
        <v>40</v>
      </c>
      <c r="G82" s="48"/>
      <c r="H82" s="48"/>
      <c r="I82" s="48"/>
      <c r="J82" s="48"/>
      <c r="K82" s="48"/>
      <c r="N82" s="75"/>
    </row>
    <row r="83" spans="2:14" x14ac:dyDescent="0.3">
      <c r="B83" s="74"/>
      <c r="C83" s="277" t="s">
        <v>334</v>
      </c>
      <c r="D83" s="433">
        <f ca="1">TODAY()</f>
        <v>45458</v>
      </c>
      <c r="E83" s="48"/>
      <c r="F83" s="436"/>
      <c r="G83" s="48"/>
      <c r="H83" s="48"/>
      <c r="I83" s="48"/>
      <c r="J83" s="48"/>
      <c r="K83" s="48"/>
      <c r="N83" s="75"/>
    </row>
    <row r="84" spans="2:14" ht="12.9" thickBot="1" x14ac:dyDescent="0.35">
      <c r="B84" s="74"/>
      <c r="E84" s="48"/>
      <c r="F84" s="436"/>
      <c r="G84" s="48"/>
      <c r="H84" s="48"/>
      <c r="I84" s="48"/>
      <c r="J84" s="440">
        <f>IF(RIGHT(Nb_diam,1)=",", "", X_j)</f>
        <v>40</v>
      </c>
      <c r="K84" s="48"/>
      <c r="N84" s="75"/>
    </row>
    <row r="85" spans="2:14" ht="12.9" thickBot="1" x14ac:dyDescent="0.35">
      <c r="B85" s="74"/>
      <c r="C85" s="275" t="s">
        <v>335</v>
      </c>
      <c r="D85" s="243" t="str">
        <f>Propu</f>
        <v>Pro54-5G WT</v>
      </c>
      <c r="E85" s="273" t="s">
        <v>339</v>
      </c>
      <c r="F85" s="441">
        <f>D_og</f>
        <v>90</v>
      </c>
      <c r="G85" s="48"/>
      <c r="H85" s="48"/>
      <c r="I85" s="48"/>
      <c r="J85" s="436"/>
      <c r="K85" s="48"/>
      <c r="N85" s="75"/>
    </row>
    <row r="86" spans="2:14" x14ac:dyDescent="0.3">
      <c r="B86" s="74"/>
      <c r="C86" s="277" t="s">
        <v>336</v>
      </c>
      <c r="D86" s="260" t="s">
        <v>14</v>
      </c>
      <c r="E86" s="48"/>
      <c r="F86" s="436"/>
      <c r="G86" s="48"/>
      <c r="H86" s="48"/>
      <c r="I86" s="48"/>
      <c r="J86" s="440">
        <f>IF(RIGHT(Nb_diam,1)=",", "", X_r)</f>
        <v>500</v>
      </c>
      <c r="K86" s="48"/>
      <c r="N86" s="75"/>
    </row>
    <row r="87" spans="2:14" x14ac:dyDescent="0.3">
      <c r="B87" s="74"/>
      <c r="E87" s="48"/>
      <c r="F87" s="436"/>
      <c r="G87" s="48"/>
      <c r="H87" s="48"/>
      <c r="I87" s="48"/>
      <c r="J87" s="436"/>
      <c r="K87" s="48"/>
      <c r="N87" s="75"/>
    </row>
    <row r="88" spans="2:14" x14ac:dyDescent="0.3">
      <c r="B88" s="74"/>
      <c r="E88" s="48"/>
      <c r="F88" s="436"/>
      <c r="G88" s="48"/>
      <c r="H88" s="48"/>
      <c r="I88" s="48"/>
      <c r="J88" s="440">
        <f>IF(RIGHT(Nb_diam,1)=",", "", l_j)</f>
        <v>188</v>
      </c>
      <c r="K88" s="48"/>
      <c r="N88" s="75"/>
    </row>
    <row r="89" spans="2:14" ht="12.9" thickBot="1" x14ac:dyDescent="0.35">
      <c r="B89" s="74"/>
      <c r="E89" s="48"/>
      <c r="F89" s="436"/>
      <c r="G89" s="48"/>
      <c r="H89" s="48"/>
      <c r="I89" s="48"/>
      <c r="J89" s="436"/>
      <c r="K89" s="48"/>
      <c r="N89" s="75"/>
    </row>
    <row r="90" spans="2:14" ht="12.9" thickBot="1" x14ac:dyDescent="0.35">
      <c r="B90" s="74"/>
      <c r="E90" s="434" t="s">
        <v>340</v>
      </c>
      <c r="F90" s="440">
        <f>IF(RIGHT(Nb_diam,1)=",", "", D2j)</f>
        <v>100</v>
      </c>
      <c r="G90" s="48"/>
      <c r="H90" s="48"/>
      <c r="I90" s="48"/>
      <c r="J90" s="441">
        <f>X_ail-m_ail</f>
        <v>1905</v>
      </c>
      <c r="K90" s="2"/>
      <c r="N90" s="75"/>
    </row>
    <row r="91" spans="2:14" x14ac:dyDescent="0.3">
      <c r="B91" s="74"/>
      <c r="E91" s="48"/>
      <c r="F91" s="436"/>
      <c r="G91" s="48"/>
      <c r="H91" s="48"/>
      <c r="I91" s="48"/>
      <c r="J91" s="436"/>
      <c r="K91" s="48"/>
      <c r="N91" s="75"/>
    </row>
    <row r="92" spans="2:14" x14ac:dyDescent="0.3">
      <c r="B92" s="74"/>
      <c r="E92" s="48"/>
      <c r="F92" s="436"/>
      <c r="G92" s="48"/>
      <c r="H92" s="48"/>
      <c r="I92" s="48"/>
      <c r="J92" s="440">
        <f>IF(RIGHT(Nb_diam,1)=",", "", l_r)</f>
        <v>50</v>
      </c>
      <c r="K92" s="48"/>
      <c r="N92" s="75"/>
    </row>
    <row r="93" spans="2:14" x14ac:dyDescent="0.3">
      <c r="B93" s="74"/>
      <c r="E93" s="48"/>
      <c r="F93" s="436"/>
      <c r="G93" s="48"/>
      <c r="H93" s="48"/>
      <c r="I93" s="48"/>
      <c r="J93" s="436"/>
      <c r="K93" s="48"/>
      <c r="N93" s="75"/>
    </row>
    <row r="94" spans="2:14" x14ac:dyDescent="0.3">
      <c r="B94" s="74"/>
      <c r="E94" s="434" t="s">
        <v>341</v>
      </c>
      <c r="F94" s="440">
        <f>IF(RIGHT(Nb_diam,1)=",", "", D2r)</f>
        <v>100</v>
      </c>
      <c r="G94" s="48"/>
      <c r="H94" s="48"/>
      <c r="I94" s="48"/>
      <c r="J94" s="436"/>
      <c r="K94" s="48"/>
      <c r="N94" s="75"/>
    </row>
    <row r="95" spans="2:14" x14ac:dyDescent="0.3">
      <c r="B95" s="74"/>
      <c r="E95" s="48"/>
      <c r="F95" s="436"/>
      <c r="G95" s="48"/>
      <c r="H95" s="48"/>
      <c r="I95" s="48"/>
      <c r="J95" s="436"/>
      <c r="K95" s="48"/>
      <c r="N95" s="75"/>
    </row>
    <row r="96" spans="2:14" ht="12.9" thickBot="1" x14ac:dyDescent="0.35">
      <c r="B96" s="74"/>
      <c r="E96" s="48"/>
      <c r="F96" s="436"/>
      <c r="G96" s="48"/>
      <c r="H96" s="48"/>
      <c r="I96" s="48"/>
      <c r="J96" s="436"/>
      <c r="K96" s="48"/>
      <c r="N96" s="75"/>
    </row>
    <row r="97" spans="2:14" ht="12.9" thickBot="1" x14ac:dyDescent="0.35">
      <c r="B97" s="74"/>
      <c r="E97" s="273" t="s">
        <v>342</v>
      </c>
      <c r="F97" s="441">
        <f>m_ail</f>
        <v>290</v>
      </c>
      <c r="G97" s="48"/>
      <c r="H97" s="48"/>
      <c r="I97" s="48"/>
      <c r="J97" s="441">
        <f>p_ail</f>
        <v>73</v>
      </c>
      <c r="K97" s="2"/>
      <c r="N97" s="75"/>
    </row>
    <row r="98" spans="2:14" x14ac:dyDescent="0.3">
      <c r="B98" s="74"/>
      <c r="E98" s="48"/>
      <c r="F98" s="48"/>
      <c r="G98" s="48"/>
      <c r="H98" s="48"/>
      <c r="I98" s="48"/>
      <c r="J98" s="436"/>
      <c r="K98" s="48"/>
      <c r="N98" s="75"/>
    </row>
    <row r="99" spans="2:14" x14ac:dyDescent="0.3">
      <c r="B99" s="74"/>
      <c r="E99" s="48"/>
      <c r="F99" s="48"/>
      <c r="G99" s="48"/>
      <c r="H99" s="48"/>
      <c r="I99" s="48"/>
      <c r="J99" s="436"/>
      <c r="K99" s="48"/>
      <c r="N99" s="75"/>
    </row>
    <row r="100" spans="2:14" ht="12.9" thickBot="1" x14ac:dyDescent="0.35">
      <c r="B100" s="74"/>
      <c r="D100" s="429" t="s">
        <v>344</v>
      </c>
      <c r="E100" s="246">
        <f>Q_ail</f>
        <v>4</v>
      </c>
      <c r="F100" s="430"/>
      <c r="G100" s="48"/>
      <c r="H100" s="48"/>
      <c r="I100" s="48"/>
      <c r="J100" s="436"/>
      <c r="K100" s="48"/>
      <c r="N100" s="75"/>
    </row>
    <row r="101" spans="2:14" ht="12.9" thickBot="1" x14ac:dyDescent="0.35">
      <c r="B101" s="74"/>
      <c r="D101" s="437" t="s">
        <v>348</v>
      </c>
      <c r="E101" s="6">
        <f ca="1">XpropuRef-Long_propu</f>
        <v>1716</v>
      </c>
      <c r="F101" s="252"/>
      <c r="G101" s="48"/>
      <c r="H101" s="48"/>
      <c r="I101" s="48"/>
      <c r="J101" s="441">
        <f>n_ail</f>
        <v>150</v>
      </c>
      <c r="K101" s="2"/>
      <c r="N101" s="75"/>
    </row>
    <row r="102" spans="2:14" x14ac:dyDescent="0.3">
      <c r="B102" s="74"/>
      <c r="D102" s="437" t="s">
        <v>345</v>
      </c>
      <c r="E102" s="6">
        <f>IF(LEFT(Forme_ogive,4)="Ogiv",1,0)</f>
        <v>0</v>
      </c>
      <c r="F102" s="252" t="s">
        <v>346</v>
      </c>
      <c r="G102" s="48"/>
      <c r="H102" s="48"/>
      <c r="I102" s="48"/>
      <c r="J102" s="436"/>
      <c r="K102" s="48"/>
      <c r="N102" s="75"/>
    </row>
    <row r="103" spans="2:14" x14ac:dyDescent="0.3">
      <c r="B103" s="74"/>
      <c r="D103" s="437"/>
      <c r="E103" s="6">
        <f>IF(LEFT(Forme_ogive,3)="Con",1,0)</f>
        <v>0</v>
      </c>
      <c r="F103" s="252" t="s">
        <v>159</v>
      </c>
      <c r="G103" s="48"/>
      <c r="H103" s="48"/>
      <c r="I103" s="48"/>
      <c r="J103" s="436"/>
      <c r="K103" s="48"/>
      <c r="N103" s="75"/>
    </row>
    <row r="104" spans="2:14" ht="12.9" thickBot="1" x14ac:dyDescent="0.35">
      <c r="B104" s="74"/>
      <c r="D104" s="431"/>
      <c r="E104" s="274">
        <f>IF(LEFT(Forme_ogive,5)="Parab",1,0)</f>
        <v>1</v>
      </c>
      <c r="F104" s="289" t="s">
        <v>347</v>
      </c>
      <c r="G104" s="48"/>
      <c r="H104" s="48"/>
      <c r="I104" s="48"/>
      <c r="J104" s="12" t="s">
        <v>343</v>
      </c>
      <c r="K104" s="48"/>
      <c r="N104" s="75"/>
    </row>
    <row r="105" spans="2:14" ht="12.9" thickBot="1" x14ac:dyDescent="0.35">
      <c r="B105" s="74"/>
      <c r="D105" s="2"/>
      <c r="E105" s="2"/>
      <c r="F105" s="2"/>
      <c r="G105" s="273"/>
      <c r="H105" s="441">
        <f>E_ail</f>
        <v>125</v>
      </c>
      <c r="I105" s="273"/>
      <c r="J105" s="441">
        <f>ep_ail</f>
        <v>2</v>
      </c>
      <c r="K105" s="48"/>
      <c r="N105" s="75"/>
    </row>
    <row r="106" spans="2:14" x14ac:dyDescent="0.3">
      <c r="B106" s="74"/>
      <c r="D106" s="429"/>
      <c r="E106" s="246" t="s">
        <v>352</v>
      </c>
      <c r="F106" s="243" t="s">
        <v>351</v>
      </c>
      <c r="N106" s="75"/>
    </row>
    <row r="107" spans="2:14" x14ac:dyDescent="0.3">
      <c r="B107" s="74"/>
      <c r="D107" s="437" t="s">
        <v>349</v>
      </c>
      <c r="E107" s="6">
        <f>MasseSans</f>
        <v>7.9</v>
      </c>
      <c r="F107" s="244">
        <f ca="1">MassePlein</f>
        <v>9.532</v>
      </c>
      <c r="N107" s="75"/>
    </row>
    <row r="108" spans="2:14" x14ac:dyDescent="0.3">
      <c r="B108" s="74"/>
      <c r="D108" s="431" t="s">
        <v>350</v>
      </c>
      <c r="E108" s="274">
        <f>XcgSans</f>
        <v>1180</v>
      </c>
      <c r="F108" s="260">
        <f ca="1">XcgPlein</f>
        <v>1314.5732270247586</v>
      </c>
      <c r="N108" s="75"/>
    </row>
    <row r="109" spans="2:14" x14ac:dyDescent="0.3">
      <c r="B109" s="74"/>
      <c r="N109" s="75"/>
    </row>
    <row r="110" spans="2:14" x14ac:dyDescent="0.3">
      <c r="B110" s="74"/>
      <c r="D110" s="438" t="s">
        <v>353</v>
      </c>
      <c r="E110" s="439">
        <f ca="1">MasseVide</f>
        <v>8.5500000000000007</v>
      </c>
      <c r="G110" s="429" t="s">
        <v>354</v>
      </c>
      <c r="H110" s="265"/>
      <c r="I110" s="265"/>
      <c r="J110" s="266"/>
      <c r="N110" s="75"/>
    </row>
    <row r="111" spans="2:14" x14ac:dyDescent="0.3">
      <c r="B111" s="74"/>
      <c r="G111" s="276" t="s">
        <v>213</v>
      </c>
      <c r="H111" s="6">
        <f>Beta_rampe</f>
        <v>80</v>
      </c>
      <c r="I111" s="6">
        <v>80</v>
      </c>
      <c r="J111" s="244">
        <v>90</v>
      </c>
      <c r="N111" s="75"/>
    </row>
    <row r="112" spans="2:14" x14ac:dyDescent="0.3">
      <c r="B112" s="74"/>
      <c r="G112" s="278" t="s">
        <v>215</v>
      </c>
      <c r="H112" s="247">
        <f ca="1">Temps_culmi</f>
        <v>15.399999999999963</v>
      </c>
      <c r="I112" s="259"/>
      <c r="J112" s="268"/>
      <c r="N112" s="75"/>
    </row>
    <row r="113" spans="2:14" ht="12.75" customHeight="1" x14ac:dyDescent="0.4">
      <c r="B113" s="74"/>
      <c r="D113" s="435" t="s">
        <v>355</v>
      </c>
      <c r="E113" s="48"/>
      <c r="G113" s="278" t="s">
        <v>216</v>
      </c>
      <c r="H113" s="242">
        <f ca="1">Altitude_culmi</f>
        <v>1273.1404284248381</v>
      </c>
      <c r="I113" s="259"/>
      <c r="J113" s="268"/>
      <c r="N113" s="75"/>
    </row>
    <row r="114" spans="2:14" ht="12.75" customHeight="1" x14ac:dyDescent="0.4">
      <c r="B114" s="74"/>
      <c r="D114" s="48"/>
      <c r="E114" s="48"/>
      <c r="F114" s="435"/>
      <c r="G114" s="278" t="s">
        <v>217</v>
      </c>
      <c r="H114" s="248">
        <f ca="1">Vit_culmi</f>
        <v>23.645575032442181</v>
      </c>
      <c r="I114" s="259"/>
      <c r="J114" s="268"/>
      <c r="N114" s="75"/>
    </row>
    <row r="115" spans="2:14" x14ac:dyDescent="0.3">
      <c r="B115" s="74"/>
      <c r="C115" s="429" t="s">
        <v>356</v>
      </c>
      <c r="D115" s="249"/>
      <c r="E115" s="446">
        <v>0.1</v>
      </c>
      <c r="G115" s="278" t="s">
        <v>133</v>
      </c>
      <c r="H115" s="242">
        <f ca="1">Portee_balistique</f>
        <v>764.67878961306644</v>
      </c>
      <c r="I115" s="259"/>
      <c r="J115" s="268"/>
      <c r="N115" s="75"/>
    </row>
    <row r="116" spans="2:14" ht="12.75" customHeight="1" x14ac:dyDescent="0.3">
      <c r="B116" s="74"/>
      <c r="C116" s="431" t="s">
        <v>357</v>
      </c>
      <c r="D116" s="255"/>
      <c r="E116" s="447">
        <f>E_ail*(m_ail+n_ail)/2</f>
        <v>27500</v>
      </c>
      <c r="G116" s="278" t="s">
        <v>137</v>
      </c>
      <c r="H116" s="248">
        <f ca="1">Vit_max</f>
        <v>194.47396094036492</v>
      </c>
      <c r="I116" s="259"/>
      <c r="J116" s="268"/>
      <c r="N116" s="75"/>
    </row>
    <row r="117" spans="2:14" ht="12.75" customHeight="1" x14ac:dyDescent="0.3">
      <c r="B117" s="74"/>
      <c r="D117" s="48"/>
      <c r="E117" s="48"/>
      <c r="F117" s="48"/>
      <c r="G117" s="278" t="s">
        <v>136</v>
      </c>
      <c r="H117" s="242">
        <f ca="1">Acc_max</f>
        <v>132.83173906443665</v>
      </c>
      <c r="I117" s="259"/>
      <c r="J117" s="268"/>
      <c r="N117" s="75"/>
    </row>
    <row r="118" spans="2:14" x14ac:dyDescent="0.3">
      <c r="B118" s="74"/>
      <c r="C118" s="429" t="s">
        <v>358</v>
      </c>
      <c r="D118" s="249"/>
      <c r="E118" s="457"/>
      <c r="F118" s="458">
        <f>J90/100</f>
        <v>19.05</v>
      </c>
      <c r="G118" s="276" t="s">
        <v>5</v>
      </c>
      <c r="H118" s="6">
        <f>Cx</f>
        <v>0.7</v>
      </c>
      <c r="I118" s="259"/>
      <c r="J118" s="268"/>
      <c r="N118" s="75"/>
    </row>
    <row r="119" spans="2:14" x14ac:dyDescent="0.3">
      <c r="B119" s="74"/>
      <c r="C119" s="437" t="s">
        <v>359</v>
      </c>
      <c r="D119" s="2"/>
      <c r="E119" s="459">
        <f ca="1">2*Acc_max*MasseSans</f>
        <v>2098.7414772180991</v>
      </c>
      <c r="F119" s="460">
        <f ca="1">E119/g</f>
        <v>213.93898850337402</v>
      </c>
      <c r="G119" s="269" t="s">
        <v>222</v>
      </c>
      <c r="H119" s="270"/>
      <c r="I119" s="270"/>
      <c r="J119" s="271"/>
      <c r="N119" s="75"/>
    </row>
    <row r="120" spans="2:14" x14ac:dyDescent="0.3">
      <c r="B120" s="74"/>
      <c r="C120" s="437" t="s">
        <v>360</v>
      </c>
      <c r="D120" s="2"/>
      <c r="E120" s="459">
        <f ca="1">2*Acc_max*E115</f>
        <v>26.566347812887329</v>
      </c>
      <c r="F120" s="460">
        <f ca="1">E120/g</f>
        <v>2.7080884620680252</v>
      </c>
      <c r="N120" s="75"/>
    </row>
    <row r="121" spans="2:14" x14ac:dyDescent="0.3">
      <c r="B121" s="74"/>
      <c r="C121" s="431" t="s">
        <v>361</v>
      </c>
      <c r="D121" s="255"/>
      <c r="E121" s="452">
        <f ca="1">0.104*E116/1000000*Vit_max^2</f>
        <v>108.1655474437669</v>
      </c>
      <c r="F121" s="453">
        <f ca="1">E121/g</f>
        <v>11.026049688457379</v>
      </c>
      <c r="G121" s="48"/>
      <c r="H121" s="48"/>
      <c r="I121" s="48"/>
      <c r="J121" s="48"/>
      <c r="N121" s="75"/>
    </row>
    <row r="122" spans="2:14" ht="12.75" customHeight="1" x14ac:dyDescent="0.3">
      <c r="B122" s="74"/>
      <c r="H122" s="48"/>
      <c r="I122" s="48"/>
      <c r="J122" s="48"/>
      <c r="N122" s="75"/>
    </row>
    <row r="123" spans="2:14" ht="12.75" customHeight="1" x14ac:dyDescent="0.4">
      <c r="B123" s="74"/>
      <c r="G123" s="435"/>
      <c r="H123" s="435"/>
      <c r="I123" s="435"/>
      <c r="J123" s="48"/>
      <c r="N123" s="75"/>
    </row>
    <row r="124" spans="2:14" ht="12.75" customHeight="1" x14ac:dyDescent="0.4">
      <c r="B124" s="74"/>
      <c r="C124" s="48"/>
      <c r="D124" s="435" t="s">
        <v>362</v>
      </c>
      <c r="E124" s="448"/>
      <c r="J124" s="48"/>
      <c r="K124" s="48"/>
      <c r="N124" s="75"/>
    </row>
    <row r="125" spans="2:14" x14ac:dyDescent="0.3">
      <c r="B125" s="74"/>
      <c r="C125" s="445" t="s">
        <v>363</v>
      </c>
      <c r="J125" s="48"/>
      <c r="K125" s="48"/>
      <c r="N125" s="75"/>
    </row>
    <row r="126" spans="2:14" x14ac:dyDescent="0.3">
      <c r="B126" s="74"/>
      <c r="C126" s="429" t="s">
        <v>364</v>
      </c>
      <c r="D126" s="249"/>
      <c r="E126" s="449">
        <v>4</v>
      </c>
      <c r="G126" s="48"/>
      <c r="J126" s="48"/>
      <c r="N126" s="75"/>
    </row>
    <row r="127" spans="2:14" x14ac:dyDescent="0.3">
      <c r="B127" s="74"/>
      <c r="C127" s="431" t="s">
        <v>365</v>
      </c>
      <c r="D127" s="255"/>
      <c r="E127" s="456">
        <f>S_para</f>
        <v>1.99</v>
      </c>
      <c r="G127" s="48"/>
      <c r="J127" s="48"/>
      <c r="N127" s="75"/>
    </row>
    <row r="128" spans="2:14" x14ac:dyDescent="0.3">
      <c r="B128" s="74"/>
      <c r="C128" s="670" t="s">
        <v>366</v>
      </c>
      <c r="D128" s="671"/>
      <c r="E128" s="450">
        <f ca="1">0.5*Rho_moyen*S_para*Vit_culmi^2</f>
        <v>681.48912433917906</v>
      </c>
      <c r="F128" s="451">
        <f ca="1">E128/g</f>
        <v>69.468820014187457</v>
      </c>
      <c r="H128" s="48"/>
      <c r="I128" s="48"/>
      <c r="J128" s="48"/>
      <c r="K128" s="48"/>
      <c r="N128" s="75"/>
    </row>
    <row r="129" spans="2:14" x14ac:dyDescent="0.3">
      <c r="B129" s="74"/>
      <c r="C129" s="668" t="s">
        <v>367</v>
      </c>
      <c r="D129" s="669"/>
      <c r="E129" s="452">
        <f ca="1">E128/E126*2</f>
        <v>340.74456216958953</v>
      </c>
      <c r="F129" s="453">
        <f ca="1">E129/g</f>
        <v>34.734410007093729</v>
      </c>
      <c r="H129" s="48"/>
      <c r="I129" s="48"/>
      <c r="J129" s="48"/>
      <c r="K129" s="48"/>
      <c r="N129" s="75"/>
    </row>
    <row r="130" spans="2:14" x14ac:dyDescent="0.3">
      <c r="B130" s="74"/>
      <c r="C130" s="47"/>
      <c r="D130" s="47"/>
      <c r="E130" s="443"/>
      <c r="F130" s="444"/>
      <c r="H130" s="48"/>
      <c r="I130" s="48"/>
      <c r="J130" s="48"/>
      <c r="K130" s="48"/>
      <c r="N130" s="75"/>
    </row>
    <row r="131" spans="2:14" x14ac:dyDescent="0.3">
      <c r="B131" s="74"/>
      <c r="C131" s="445" t="s">
        <v>368</v>
      </c>
      <c r="D131" s="48"/>
      <c r="E131" s="48"/>
      <c r="F131" s="48"/>
      <c r="G131" s="48"/>
      <c r="H131" s="48"/>
      <c r="I131" s="48"/>
      <c r="J131" s="48"/>
      <c r="K131" s="48"/>
      <c r="N131" s="75"/>
    </row>
    <row r="132" spans="2:14" x14ac:dyDescent="0.3">
      <c r="B132" s="74"/>
      <c r="C132" s="670" t="s">
        <v>369</v>
      </c>
      <c r="D132" s="671"/>
      <c r="E132" s="454">
        <v>1</v>
      </c>
      <c r="F132" s="48"/>
      <c r="G132" s="48"/>
      <c r="H132" s="48"/>
      <c r="I132" s="48"/>
      <c r="J132" s="442"/>
      <c r="K132" s="48"/>
      <c r="N132" s="75"/>
    </row>
    <row r="133" spans="2:14" x14ac:dyDescent="0.3">
      <c r="B133" s="74"/>
      <c r="C133" s="668" t="s">
        <v>370</v>
      </c>
      <c r="D133" s="669"/>
      <c r="E133" s="455">
        <f ca="1">2*E132*Acc_max/g</f>
        <v>27.080884620680251</v>
      </c>
      <c r="F133" s="48"/>
      <c r="G133" s="48"/>
      <c r="H133" s="48"/>
      <c r="I133" s="48"/>
      <c r="J133" s="48"/>
      <c r="K133" s="48"/>
      <c r="N133" s="75"/>
    </row>
    <row r="134" spans="2:14" ht="12.9" thickBot="1" x14ac:dyDescent="0.3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H11:I11"/>
    <mergeCell ref="H12:I12"/>
    <mergeCell ref="H13:I13"/>
    <mergeCell ref="H29:K29"/>
    <mergeCell ref="C29:C30"/>
    <mergeCell ref="D29:D30"/>
    <mergeCell ref="H17:I17"/>
    <mergeCell ref="H18:I18"/>
    <mergeCell ref="H19:I19"/>
    <mergeCell ref="E29:G30"/>
    <mergeCell ref="E31:G31"/>
    <mergeCell ref="M29:M30"/>
    <mergeCell ref="H30:I30"/>
    <mergeCell ref="L29:L30"/>
    <mergeCell ref="H31:I31"/>
    <mergeCell ref="C133:D133"/>
    <mergeCell ref="C128:D128"/>
    <mergeCell ref="C129:D129"/>
    <mergeCell ref="C132:D132"/>
    <mergeCell ref="H44:I44"/>
    <mergeCell ref="H45:I45"/>
    <mergeCell ref="H46:I46"/>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Abaco!Print_Area</vt:lpstr>
      <vt:lpstr>Courbes!Print_Area</vt:lpstr>
      <vt:lpstr>Stabilito!Print_Area</vt:lpstr>
      <vt:lpstr>Trajecto!Print_Area</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Mixcraftio</cp:lastModifiedBy>
  <cp:lastPrinted>2011-11-08T21:12:34Z</cp:lastPrinted>
  <dcterms:created xsi:type="dcterms:W3CDTF">2008-11-03T20:48:06Z</dcterms:created>
  <dcterms:modified xsi:type="dcterms:W3CDTF">2024-06-15T14:03:18Z</dcterms:modified>
</cp:coreProperties>
</file>